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7B00A0B3-F72F-49FC-9C2E-C58F54E7D295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Volume sources" sheetId="1" r:id="rId1"/>
    <sheet name="TW Centroi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L30" i="1"/>
  <c r="O30" i="1" l="1"/>
  <c r="H35" i="1"/>
  <c r="H38" i="1" s="1"/>
  <c r="G29" i="1" l="1"/>
  <c r="I29" i="1"/>
  <c r="H29" i="1"/>
  <c r="H39" i="1"/>
  <c r="N29" i="1" s="1"/>
  <c r="M29" i="1" s="1"/>
  <c r="J29" i="1"/>
  <c r="L29" i="1"/>
  <c r="I38" i="1" l="1"/>
  <c r="J38" i="1" s="1"/>
  <c r="O29" i="1"/>
  <c r="M28" i="1"/>
  <c r="M27" i="1"/>
  <c r="M26" i="1"/>
  <c r="M25" i="1"/>
  <c r="L28" i="1"/>
  <c r="O28" i="1" s="1"/>
  <c r="L27" i="1"/>
  <c r="O27" i="1" s="1"/>
  <c r="L26" i="1"/>
  <c r="O26" i="1" s="1"/>
  <c r="L25" i="1"/>
  <c r="O25" i="1" s="1"/>
  <c r="M15" i="1"/>
  <c r="M13" i="1"/>
  <c r="M9" i="1"/>
  <c r="M10" i="1" s="1"/>
  <c r="M19" i="1" s="1"/>
  <c r="M21" i="1" s="1"/>
  <c r="W7" i="2"/>
  <c r="V7" i="2"/>
  <c r="U7" i="2"/>
  <c r="S7" i="2"/>
  <c r="R7" i="2"/>
  <c r="W6" i="2"/>
  <c r="V6" i="2"/>
  <c r="U6" i="2"/>
  <c r="S6" i="2"/>
  <c r="R6" i="2"/>
  <c r="W5" i="2"/>
  <c r="V5" i="2"/>
  <c r="U5" i="2"/>
  <c r="S5" i="2"/>
  <c r="R5" i="2"/>
  <c r="W4" i="2"/>
  <c r="V4" i="2"/>
  <c r="U4" i="2"/>
  <c r="S4" i="2"/>
  <c r="R4" i="2"/>
  <c r="W3" i="2"/>
  <c r="V3" i="2"/>
  <c r="U3" i="2"/>
  <c r="S3" i="2"/>
  <c r="R3" i="2"/>
  <c r="K7" i="2"/>
  <c r="J7" i="2"/>
  <c r="I7" i="2"/>
  <c r="G7" i="2"/>
  <c r="F7" i="2"/>
  <c r="T5" i="2" l="1"/>
  <c r="M14" i="1"/>
  <c r="M16" i="1" s="1"/>
  <c r="M17" i="1" s="1"/>
  <c r="M18" i="1" s="1"/>
  <c r="T4" i="2"/>
  <c r="T3" i="2"/>
  <c r="R11" i="2" s="1"/>
  <c r="U11" i="2" s="1"/>
  <c r="M4" i="1" s="1"/>
  <c r="T6" i="2"/>
  <c r="T7" i="2"/>
  <c r="V11" i="2" l="1"/>
  <c r="M5" i="1" s="1"/>
  <c r="M20" i="1"/>
  <c r="J6" i="2"/>
  <c r="J5" i="2"/>
  <c r="J4" i="2"/>
  <c r="J3" i="2"/>
  <c r="K6" i="2"/>
  <c r="K5" i="2"/>
  <c r="K4" i="2"/>
  <c r="K3" i="2"/>
  <c r="I6" i="2"/>
  <c r="I5" i="2"/>
  <c r="I4" i="2"/>
  <c r="I3" i="2"/>
  <c r="H7" i="2"/>
  <c r="G6" i="2"/>
  <c r="F6" i="2"/>
  <c r="H6" i="2" s="1"/>
  <c r="G5" i="2"/>
  <c r="F5" i="2"/>
  <c r="G4" i="2"/>
  <c r="F4" i="2"/>
  <c r="G3" i="2"/>
  <c r="F3" i="2"/>
  <c r="H4" i="2" l="1"/>
  <c r="H3" i="2"/>
  <c r="H5" i="2"/>
  <c r="L13" i="1"/>
  <c r="K13" i="1"/>
  <c r="J13" i="1"/>
  <c r="I13" i="1"/>
  <c r="H13" i="1"/>
  <c r="G13" i="1"/>
  <c r="F11" i="2" l="1"/>
  <c r="G8" i="1"/>
  <c r="J11" i="2" l="1"/>
  <c r="L5" i="1" s="1"/>
  <c r="I11" i="2"/>
  <c r="L4" i="1" s="1"/>
  <c r="L15" i="1"/>
  <c r="K15" i="1"/>
  <c r="J15" i="1"/>
  <c r="I15" i="1"/>
  <c r="H15" i="1"/>
  <c r="G15" i="1"/>
  <c r="J8" i="1" l="1"/>
  <c r="I8" i="1"/>
  <c r="H8" i="1"/>
  <c r="I9" i="1" l="1"/>
  <c r="G9" i="1"/>
  <c r="L9" i="1"/>
  <c r="L14" i="1" s="1"/>
  <c r="H9" i="1"/>
  <c r="K9" i="1"/>
  <c r="J9" i="1"/>
  <c r="H14" i="1" l="1"/>
  <c r="H16" i="1" s="1"/>
  <c r="H17" i="1" s="1"/>
  <c r="H20" i="1" s="1"/>
  <c r="H10" i="1"/>
  <c r="K14" i="1"/>
  <c r="K16" i="1" s="1"/>
  <c r="K17" i="1" s="1"/>
  <c r="K20" i="1" s="1"/>
  <c r="K10" i="1"/>
  <c r="L16" i="1"/>
  <c r="L17" i="1" s="1"/>
  <c r="L10" i="1"/>
  <c r="G14" i="1"/>
  <c r="G16" i="1" s="1"/>
  <c r="G17" i="1" s="1"/>
  <c r="G20" i="1" s="1"/>
  <c r="G10" i="1"/>
  <c r="J14" i="1"/>
  <c r="J16" i="1" s="1"/>
  <c r="J17" i="1" s="1"/>
  <c r="J20" i="1" s="1"/>
  <c r="J10" i="1"/>
  <c r="I14" i="1"/>
  <c r="I16" i="1" s="1"/>
  <c r="I17" i="1" s="1"/>
  <c r="I20" i="1" s="1"/>
  <c r="I10" i="1"/>
  <c r="J18" i="1"/>
  <c r="L18" i="1" l="1"/>
  <c r="L20" i="1"/>
  <c r="L19" i="1"/>
  <c r="L21" i="1" s="1"/>
  <c r="H18" i="1"/>
  <c r="I19" i="1"/>
  <c r="I21" i="1" s="1"/>
  <c r="G19" i="1"/>
  <c r="G21" i="1" s="1"/>
  <c r="K19" i="1"/>
  <c r="K21" i="1" s="1"/>
  <c r="J19" i="1"/>
  <c r="J21" i="1" s="1"/>
  <c r="H19" i="1"/>
  <c r="H21" i="1" s="1"/>
  <c r="K18" i="1"/>
  <c r="G18" i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Wind speed at source height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charset val="1"/>
          </rPr>
          <t xml:space="preserve">
https://math.stackexchange.com/questions/3177/why-doesnt-a-simple-mean-give-the-position-of-a-centroid-in-a-polygon
https://en.wikipedia.org/wiki/Centroid#Of_a_polygon</t>
        </r>
      </text>
    </comment>
  </commentList>
</comments>
</file>

<file path=xl/sharedStrings.xml><?xml version="1.0" encoding="utf-8"?>
<sst xmlns="http://schemas.openxmlformats.org/spreadsheetml/2006/main" count="100" uniqueCount="79">
  <si>
    <t>g</t>
  </si>
  <si>
    <t>m/s2</t>
  </si>
  <si>
    <t>Ta</t>
  </si>
  <si>
    <t>K</t>
  </si>
  <si>
    <t>Vs</t>
  </si>
  <si>
    <t>m</t>
  </si>
  <si>
    <t>BF1</t>
  </si>
  <si>
    <t>BF2</t>
  </si>
  <si>
    <t>BF3</t>
  </si>
  <si>
    <t>BF4</t>
  </si>
  <si>
    <t>FIN</t>
  </si>
  <si>
    <t>Area (m2)</t>
  </si>
  <si>
    <t>ds (m)</t>
  </si>
  <si>
    <t>T (K)</t>
  </si>
  <si>
    <t>Fb</t>
  </si>
  <si>
    <t>Source height (m)</t>
  </si>
  <si>
    <t>Us (m/s)</t>
  </si>
  <si>
    <t>Zref</t>
  </si>
  <si>
    <t>m/s</t>
  </si>
  <si>
    <t>Uref</t>
  </si>
  <si>
    <t>p</t>
  </si>
  <si>
    <t>-</t>
  </si>
  <si>
    <t>Lapse rate</t>
  </si>
  <si>
    <t>K/m</t>
  </si>
  <si>
    <t>Dh (m)</t>
  </si>
  <si>
    <t>Plume height (m)</t>
  </si>
  <si>
    <t>Release height (m)</t>
  </si>
  <si>
    <t>Sigma Z (m)</t>
  </si>
  <si>
    <t>Input in green</t>
  </si>
  <si>
    <t>Length (m)</t>
  </si>
  <si>
    <t>Easting center (m)</t>
  </si>
  <si>
    <t>Northing center (m)</t>
  </si>
  <si>
    <t>Sigma Y (m)</t>
  </si>
  <si>
    <t>Volume source width (m)</t>
  </si>
  <si>
    <t>Ammonia</t>
  </si>
  <si>
    <t>1,3 Butadiene</t>
  </si>
  <si>
    <t>VLEMIS (g/s) INCREASE</t>
  </si>
  <si>
    <t>Exclusion zone (m)</t>
  </si>
  <si>
    <t>Width (m)</t>
  </si>
  <si>
    <t>T (°C)</t>
  </si>
  <si>
    <t>Xi</t>
  </si>
  <si>
    <t>Yi</t>
  </si>
  <si>
    <t>Index</t>
  </si>
  <si>
    <t>Xi*Yi+1</t>
  </si>
  <si>
    <t>Xì+1*Yi</t>
  </si>
  <si>
    <t>A</t>
  </si>
  <si>
    <t>Xi+Xi+1</t>
  </si>
  <si>
    <t>Xi*Yi+1-Xi+1*Yi</t>
  </si>
  <si>
    <t>Yi+Yi+1</t>
  </si>
  <si>
    <t>CX</t>
  </si>
  <si>
    <t>CY</t>
  </si>
  <si>
    <t>Xi*Yi+1 - Xì+1*Yi</t>
  </si>
  <si>
    <t>References</t>
  </si>
  <si>
    <t>TW1</t>
  </si>
  <si>
    <t>TW2</t>
  </si>
  <si>
    <t>Ground elev (m)</t>
  </si>
  <si>
    <t>From "20200206_LCF_Emissions_VOC_NH3.xlsx", worksheet "NH3_CARB"</t>
  </si>
  <si>
    <t>From "TAPs_EmisInventory_current_WAC_20200218.xlsx", worksheet "HAP-TAP Median", cells X30:AC30</t>
  </si>
  <si>
    <t>Benzene</t>
  </si>
  <si>
    <t>From "TAPs_EmisInventory_current_WAC_20200218.xlsx", worksheet "HAP-TAP Maximum", cells X31:AC31</t>
  </si>
  <si>
    <t>Formaldehyde</t>
  </si>
  <si>
    <t>From "TAPs_EmisInventory_current_WAC_20200218.xlsx", worksheet "HAP-TAP Maximum", cells X32:AC32</t>
  </si>
  <si>
    <t>Acetaldehyde</t>
  </si>
  <si>
    <t>lb/yr</t>
  </si>
  <si>
    <t>g/s</t>
  </si>
  <si>
    <t>Acetaldehyde increase</t>
  </si>
  <si>
    <t>Fraction from biofilter</t>
  </si>
  <si>
    <t>Fraction from windrow</t>
  </si>
  <si>
    <t>From "TAPs_EmisInventory_current_WAC_20200218.xlsx", worksheet "HAP-TAP Median", cell Y35</t>
  </si>
  <si>
    <t>From "TAPs_EmisInventory_current_WAC_20200218.xlsx", worksheet "HAP-TAP Median", cell AA35</t>
  </si>
  <si>
    <t>Emission of each biofilter</t>
  </si>
  <si>
    <t>Emission of windrow</t>
  </si>
  <si>
    <t>Kumar. See below.</t>
  </si>
  <si>
    <t>ACETALDEHYDE</t>
  </si>
  <si>
    <t>check</t>
  </si>
  <si>
    <t>Propionaldehyde</t>
  </si>
  <si>
    <t>From "TAPs_EmisInventory_future_WAC_20200219.xlsx", worksheet "HAP-TAP Median", cells X34:AC34</t>
  </si>
  <si>
    <t>Total windrow</t>
  </si>
  <si>
    <t>check (lb)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</si>
</sst>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E+00"/>
    <numFmt numFmtId="167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7" fillId="3" borderId="1" applyNumberFormat="0" applyAlignment="0" applyProtection="0"/>
  </cellStyleXfs>
  <cellXfs count="3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0" fontId="1" fillId="0" borderId="0" xfId="0" applyFont="1" applyFill="1"/>
    <xf numFmtId="0" fontId="4" fillId="2" borderId="0" xfId="0" applyFont="1" applyFill="1"/>
    <xf numFmtId="2" fontId="5" fillId="2" borderId="0" xfId="0" applyNumberFormat="1" applyFont="1" applyFill="1"/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165" fontId="0" fillId="2" borderId="0" xfId="0" applyNumberFormat="1" applyFill="1"/>
    <xf numFmtId="0" fontId="0" fillId="0" borderId="0" xfId="0" applyFont="1"/>
    <xf numFmtId="166" fontId="0" fillId="0" borderId="0" xfId="0" applyNumberFormat="1"/>
    <xf numFmtId="0" fontId="1" fillId="4" borderId="0" xfId="0" applyFont="1" applyFill="1"/>
    <xf numFmtId="2" fontId="1" fillId="4" borderId="0" xfId="0" applyNumberFormat="1" applyFont="1" applyFill="1"/>
    <xf numFmtId="0" fontId="7" fillId="3" borderId="1" xfId="1"/>
    <xf numFmtId="165" fontId="7" fillId="3" borderId="1" xfId="1" applyNumberFormat="1"/>
    <xf numFmtId="2" fontId="5" fillId="2" borderId="0" xfId="0" applyNumberFormat="1" applyFont="1" applyFill="1" applyAlignment="1">
      <alignment horizontal="right"/>
    </xf>
    <xf numFmtId="166" fontId="0" fillId="5" borderId="0" xfId="0" applyNumberFormat="1" applyFill="1"/>
    <xf numFmtId="0" fontId="3" fillId="0" borderId="0" xfId="0" applyFont="1"/>
    <xf numFmtId="0" fontId="9" fillId="0" borderId="0" xfId="0" applyFont="1"/>
    <xf numFmtId="164" fontId="9" fillId="0" borderId="0" xfId="0" applyNumberFormat="1" applyFont="1"/>
    <xf numFmtId="11" fontId="9" fillId="0" borderId="0" xfId="0" applyNumberFormat="1" applyFont="1"/>
    <xf numFmtId="0" fontId="8" fillId="0" borderId="0" xfId="0" applyFont="1"/>
    <xf numFmtId="0" fontId="0" fillId="4" borderId="0" xfId="0" applyFill="1"/>
    <xf numFmtId="11" fontId="0" fillId="4" borderId="0" xfId="0" applyNumberFormat="1" applyFill="1"/>
    <xf numFmtId="166" fontId="0" fillId="0" borderId="0" xfId="0" applyNumberFormat="1" applyFill="1"/>
    <xf numFmtId="0" fontId="0" fillId="5" borderId="0" xfId="0" applyFill="1" applyAlignment="1">
      <alignment horizontal="right"/>
    </xf>
    <xf numFmtId="167" fontId="0" fillId="0" borderId="0" xfId="0" applyNumberFormat="1"/>
  </cellXfs>
  <cellStyles count="2">
    <cellStyle name="Input" xfId="1" builtinId="20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501305</xdr:colOff>
      <xdr:row>1</xdr:row>
      <xdr:rowOff>68035</xdr:rowOff>
    </xdr:from>
    <xdr:to>
      <xdr:col>33</xdr:col>
      <xdr:colOff>266417</xdr:colOff>
      <xdr:row>15</xdr:row>
      <xdr:rowOff>162835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48734" y="258535"/>
          <a:ext cx="4051362" cy="2761800"/>
        </a:xfrm>
        <a:prstGeom prst="rect">
          <a:avLst/>
        </a:prstGeom>
      </xdr:spPr>
    </xdr:pic>
    <xdr:clientData/>
  </xdr:twoCellAnchor>
  <xdr:twoCellAnchor editAs="oneCell">
    <xdr:from>
      <xdr:col>22</xdr:col>
      <xdr:colOff>69397</xdr:colOff>
      <xdr:row>1</xdr:row>
      <xdr:rowOff>104775</xdr:rowOff>
    </xdr:from>
    <xdr:to>
      <xdr:col>29</xdr:col>
      <xdr:colOff>399611</xdr:colOff>
      <xdr:row>24</xdr:row>
      <xdr:rowOff>43275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86540" y="295275"/>
          <a:ext cx="4997464" cy="4320000"/>
        </a:xfrm>
        <a:prstGeom prst="rect">
          <a:avLst/>
        </a:prstGeom>
      </xdr:spPr>
    </xdr:pic>
    <xdr:clientData/>
  </xdr:twoCellAnchor>
  <xdr:twoCellAnchor editAs="oneCell">
    <xdr:from>
      <xdr:col>25</xdr:col>
      <xdr:colOff>551089</xdr:colOff>
      <xdr:row>13</xdr:row>
      <xdr:rowOff>62592</xdr:rowOff>
    </xdr:from>
    <xdr:to>
      <xdr:col>33</xdr:col>
      <xdr:colOff>557457</xdr:colOff>
      <xdr:row>28</xdr:row>
      <xdr:rowOff>85092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50125" y="2539092"/>
          <a:ext cx="5041011" cy="28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1</xdr:row>
      <xdr:rowOff>50439</xdr:rowOff>
    </xdr:from>
    <xdr:to>
      <xdr:col>21</xdr:col>
      <xdr:colOff>147728</xdr:colOff>
      <xdr:row>22</xdr:row>
      <xdr:rowOff>103297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5F939E-260B-4A68-B61F-007BCD88D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00" y="240939"/>
          <a:ext cx="4433978" cy="405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11</xdr:row>
      <xdr:rowOff>66675</xdr:rowOff>
    </xdr:from>
    <xdr:to>
      <xdr:col>15</xdr:col>
      <xdr:colOff>84375</xdr:colOff>
      <xdr:row>28</xdr:row>
      <xdr:rowOff>123413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BFC9C9-D79E-4F4B-A362-359E86A0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162175"/>
          <a:ext cx="10800000" cy="32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9"/>
  <sheetViews>
    <sheetView tabSelected="1" zoomScaleNormal="100" workbookViewId="0">
      <selection activeCell="C26" sqref="C26"/>
    </sheetView>
  </sheetViews>
  <sheetFormatPr defaultRowHeight="15" x14ac:dyDescent="0.25"/>
  <cols>
    <col min="2" max="2" width="10" bestFit="1" customWidth="1"/>
    <col min="3" max="3" width="8.5703125" bestFit="1" customWidth="1"/>
    <col min="4" max="4" width="5.42578125" bestFit="1" customWidth="1"/>
    <col min="5" max="5" width="11" bestFit="1" customWidth="1"/>
    <col min="6" max="6" width="27.85546875" bestFit="1" customWidth="1"/>
    <col min="7" max="11" width="12.5703125" bestFit="1" customWidth="1"/>
    <col min="12" max="12" width="12.28515625" bestFit="1" customWidth="1"/>
    <col min="13" max="13" width="12.28515625" customWidth="1"/>
    <col min="14" max="14" width="19.5703125" bestFit="1" customWidth="1"/>
    <col min="15" max="15" width="12.5703125" bestFit="1" customWidth="1"/>
    <col min="19" max="19" width="18.85546875" bestFit="1" customWidth="1"/>
    <col min="20" max="24" width="10.5703125" bestFit="1" customWidth="1"/>
    <col min="25" max="25" width="10" bestFit="1" customWidth="1"/>
    <col min="26" max="26" width="11.140625" bestFit="1" customWidth="1"/>
  </cols>
  <sheetData>
    <row r="1" spans="2:26" x14ac:dyDescent="0.25">
      <c r="F1" s="7" t="s">
        <v>28</v>
      </c>
    </row>
    <row r="2" spans="2:26" x14ac:dyDescent="0.25">
      <c r="N2" s="15"/>
      <c r="O2" s="15"/>
      <c r="P2" s="8"/>
      <c r="Q2" s="8"/>
    </row>
    <row r="3" spans="2:26" x14ac:dyDescent="0.25">
      <c r="B3" t="s">
        <v>0</v>
      </c>
      <c r="C3">
        <v>9.8059999999999992</v>
      </c>
      <c r="D3" t="s">
        <v>1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53</v>
      </c>
      <c r="M3" s="5" t="s">
        <v>54</v>
      </c>
      <c r="N3" s="16"/>
      <c r="O3" s="16"/>
      <c r="P3" s="8"/>
      <c r="Q3" s="8"/>
    </row>
    <row r="4" spans="2:26" x14ac:dyDescent="0.25">
      <c r="B4" t="s">
        <v>2</v>
      </c>
      <c r="C4">
        <v>293.14999999999998</v>
      </c>
      <c r="D4" t="s">
        <v>3</v>
      </c>
      <c r="F4" s="13" t="s">
        <v>30</v>
      </c>
      <c r="G4" s="14">
        <v>552027.4</v>
      </c>
      <c r="H4" s="14">
        <v>552027.25</v>
      </c>
      <c r="I4" s="14">
        <v>551782.34</v>
      </c>
      <c r="J4" s="14">
        <v>551783.15</v>
      </c>
      <c r="K4" s="14">
        <v>551855.57999999996</v>
      </c>
      <c r="L4" s="14">
        <f>'TW Centroid'!I11</f>
        <v>551948.67969855235</v>
      </c>
      <c r="M4" s="14">
        <f>'TW Centroid'!U11</f>
        <v>551929.13388766418</v>
      </c>
      <c r="N4" s="8"/>
      <c r="O4" s="8"/>
      <c r="P4" s="8"/>
      <c r="Q4" s="8"/>
    </row>
    <row r="5" spans="2:26" x14ac:dyDescent="0.25">
      <c r="B5" t="s">
        <v>4</v>
      </c>
      <c r="C5">
        <v>1E-4</v>
      </c>
      <c r="D5" t="s">
        <v>18</v>
      </c>
      <c r="F5" s="13" t="s">
        <v>31</v>
      </c>
      <c r="G5" s="14">
        <v>5342457.59</v>
      </c>
      <c r="H5" s="14">
        <v>5342423.7699999996</v>
      </c>
      <c r="I5" s="14">
        <v>5342518.67</v>
      </c>
      <c r="J5" s="14">
        <v>5342465.29</v>
      </c>
      <c r="K5" s="14">
        <v>5342575.51</v>
      </c>
      <c r="L5" s="14">
        <f>'TW Centroid'!J11</f>
        <v>5342442.7244057273</v>
      </c>
      <c r="M5" s="14">
        <f>'TW Centroid'!V11</f>
        <v>5342532.2443503132</v>
      </c>
      <c r="N5" s="9"/>
      <c r="O5" s="9"/>
      <c r="P5" s="9"/>
      <c r="Q5" s="8"/>
    </row>
    <row r="6" spans="2:26" x14ac:dyDescent="0.25">
      <c r="B6" t="s">
        <v>17</v>
      </c>
      <c r="C6">
        <v>10</v>
      </c>
      <c r="D6" t="s">
        <v>5</v>
      </c>
      <c r="F6" s="13" t="s">
        <v>38</v>
      </c>
      <c r="G6" s="14">
        <v>9.1999999999999993</v>
      </c>
      <c r="H6" s="14">
        <v>9.1999999999999993</v>
      </c>
      <c r="I6" s="14">
        <v>9</v>
      </c>
      <c r="J6" s="14">
        <v>9</v>
      </c>
      <c r="K6" s="24" t="s">
        <v>21</v>
      </c>
      <c r="L6" s="24" t="s">
        <v>21</v>
      </c>
      <c r="M6" s="24" t="s">
        <v>21</v>
      </c>
      <c r="N6" s="8"/>
      <c r="O6" s="8"/>
      <c r="P6" s="8"/>
      <c r="Q6" s="8"/>
    </row>
    <row r="7" spans="2:26" x14ac:dyDescent="0.25">
      <c r="B7" s="7" t="s">
        <v>19</v>
      </c>
      <c r="C7" s="7">
        <v>1</v>
      </c>
      <c r="D7" s="7" t="s">
        <v>18</v>
      </c>
      <c r="F7" s="13" t="s">
        <v>29</v>
      </c>
      <c r="G7" s="14">
        <v>23</v>
      </c>
      <c r="H7" s="14">
        <v>23</v>
      </c>
      <c r="I7" s="14">
        <v>26.2</v>
      </c>
      <c r="J7" s="14">
        <v>26.2</v>
      </c>
      <c r="K7" s="24" t="s">
        <v>21</v>
      </c>
      <c r="L7" s="24" t="s">
        <v>21</v>
      </c>
      <c r="M7" s="24" t="s">
        <v>21</v>
      </c>
      <c r="N7" s="10"/>
      <c r="O7" s="10"/>
      <c r="P7" s="10"/>
      <c r="Q7" s="8"/>
    </row>
    <row r="8" spans="2:26" x14ac:dyDescent="0.25">
      <c r="B8" s="7" t="s">
        <v>20</v>
      </c>
      <c r="C8" s="7">
        <v>0.55000000000000004</v>
      </c>
      <c r="D8" s="7" t="s">
        <v>21</v>
      </c>
      <c r="F8" s="12" t="s">
        <v>11</v>
      </c>
      <c r="G8" s="8">
        <f>G6*G7</f>
        <v>211.6</v>
      </c>
      <c r="H8" s="8">
        <f t="shared" ref="H8:J8" si="0">H6*H7</f>
        <v>211.6</v>
      </c>
      <c r="I8" s="8">
        <f t="shared" si="0"/>
        <v>235.79999999999998</v>
      </c>
      <c r="J8" s="8">
        <f t="shared" si="0"/>
        <v>235.79999999999998</v>
      </c>
      <c r="K8" s="8">
        <v>3252</v>
      </c>
      <c r="L8" s="8">
        <v>6346</v>
      </c>
      <c r="M8" s="8">
        <v>10101</v>
      </c>
      <c r="N8" s="8"/>
      <c r="O8" s="8"/>
      <c r="P8" s="8"/>
      <c r="Q8" s="8"/>
    </row>
    <row r="9" spans="2:26" x14ac:dyDescent="0.25">
      <c r="B9" s="7" t="s">
        <v>22</v>
      </c>
      <c r="C9" s="7">
        <v>3.5000000000000003E-2</v>
      </c>
      <c r="D9" s="7" t="s">
        <v>23</v>
      </c>
      <c r="F9" s="12" t="s">
        <v>12</v>
      </c>
      <c r="G9" s="3">
        <f>SQRT(4*G8/PI())</f>
        <v>16.413941868605495</v>
      </c>
      <c r="H9" s="3">
        <f t="shared" ref="H9:L9" si="1">SQRT(4*H8/PI())</f>
        <v>16.413941868605495</v>
      </c>
      <c r="I9" s="3">
        <f t="shared" si="1"/>
        <v>17.327143003061739</v>
      </c>
      <c r="J9" s="3">
        <f t="shared" si="1"/>
        <v>17.327143003061739</v>
      </c>
      <c r="K9" s="3">
        <f t="shared" si="1"/>
        <v>64.347299861600632</v>
      </c>
      <c r="L9" s="3">
        <f t="shared" si="1"/>
        <v>89.888698682811864</v>
      </c>
      <c r="M9" s="3">
        <f t="shared" ref="M9" si="2">SQRT(4*M8/PI())</f>
        <v>113.40631658496753</v>
      </c>
      <c r="N9" s="11"/>
      <c r="O9" s="11"/>
      <c r="P9" s="11"/>
      <c r="Q9" s="8"/>
    </row>
    <row r="10" spans="2:26" x14ac:dyDescent="0.25">
      <c r="F10" s="6" t="s">
        <v>33</v>
      </c>
      <c r="G10" s="17">
        <f>G9</f>
        <v>16.413941868605495</v>
      </c>
      <c r="H10" s="17">
        <f t="shared" ref="H10:L10" si="3">H9</f>
        <v>16.413941868605495</v>
      </c>
      <c r="I10" s="17">
        <f t="shared" si="3"/>
        <v>17.327143003061739</v>
      </c>
      <c r="J10" s="17">
        <f t="shared" si="3"/>
        <v>17.327143003061739</v>
      </c>
      <c r="K10" s="17">
        <f t="shared" si="3"/>
        <v>64.347299861600632</v>
      </c>
      <c r="L10" s="17">
        <f t="shared" si="3"/>
        <v>89.888698682811864</v>
      </c>
      <c r="M10" s="17">
        <f t="shared" ref="M10" si="4">M9</f>
        <v>113.40631658496753</v>
      </c>
      <c r="N10" s="9"/>
      <c r="O10" s="9"/>
      <c r="P10" s="9"/>
      <c r="Q10" s="8"/>
    </row>
    <row r="11" spans="2:26" x14ac:dyDescent="0.25">
      <c r="F11" s="6" t="s">
        <v>15</v>
      </c>
      <c r="G11" s="7">
        <v>1.22</v>
      </c>
      <c r="H11" s="7">
        <v>1.22</v>
      </c>
      <c r="I11" s="7">
        <v>1.22</v>
      </c>
      <c r="J11" s="7">
        <v>1.22</v>
      </c>
      <c r="K11" s="7">
        <v>4</v>
      </c>
      <c r="L11" s="7">
        <v>1.5</v>
      </c>
      <c r="M11" s="7">
        <v>1.5</v>
      </c>
      <c r="N11" s="9"/>
      <c r="O11" s="9"/>
      <c r="P11" s="9"/>
      <c r="Q11" s="8"/>
      <c r="Y11" s="2"/>
      <c r="Z11" s="2"/>
    </row>
    <row r="12" spans="2:26" x14ac:dyDescent="0.25">
      <c r="F12" s="6" t="s">
        <v>39</v>
      </c>
      <c r="G12" s="7">
        <v>40</v>
      </c>
      <c r="H12" s="7">
        <v>40</v>
      </c>
      <c r="I12" s="7">
        <v>40</v>
      </c>
      <c r="J12" s="7">
        <v>40</v>
      </c>
      <c r="K12" s="7">
        <v>35</v>
      </c>
      <c r="L12" s="7">
        <v>45</v>
      </c>
      <c r="M12" s="7">
        <v>45</v>
      </c>
      <c r="N12" s="3"/>
      <c r="O12" s="3"/>
      <c r="P12" s="9"/>
      <c r="Y12" s="2"/>
      <c r="Z12" s="2"/>
    </row>
    <row r="13" spans="2:26" x14ac:dyDescent="0.25">
      <c r="F13" s="12" t="s">
        <v>13</v>
      </c>
      <c r="G13" s="8">
        <f t="shared" ref="G13:L13" si="5">273.15+G12</f>
        <v>313.14999999999998</v>
      </c>
      <c r="H13" s="8">
        <f t="shared" si="5"/>
        <v>313.14999999999998</v>
      </c>
      <c r="I13" s="8">
        <f t="shared" si="5"/>
        <v>313.14999999999998</v>
      </c>
      <c r="J13" s="8">
        <f t="shared" si="5"/>
        <v>313.14999999999998</v>
      </c>
      <c r="K13" s="8">
        <f t="shared" si="5"/>
        <v>308.14999999999998</v>
      </c>
      <c r="L13" s="8">
        <f t="shared" si="5"/>
        <v>318.14999999999998</v>
      </c>
      <c r="M13" s="8">
        <f t="shared" ref="M13" si="6">273.15+M12</f>
        <v>318.14999999999998</v>
      </c>
      <c r="N13" s="3"/>
      <c r="O13" s="3"/>
      <c r="P13" s="9"/>
      <c r="Y13" s="2"/>
      <c r="Z13" s="2"/>
    </row>
    <row r="14" spans="2:26" x14ac:dyDescent="0.25">
      <c r="F14" s="4" t="s">
        <v>14</v>
      </c>
      <c r="G14" s="1">
        <f t="shared" ref="G14:M14" si="7">$C$3/4*$C$5*G$9*G$9*(G$13-$C$4)/G$13</f>
        <v>4.2182785950062402E-3</v>
      </c>
      <c r="H14" s="1">
        <f t="shared" si="7"/>
        <v>4.2182785950062402E-3</v>
      </c>
      <c r="I14" s="1">
        <f t="shared" si="7"/>
        <v>4.700709322790507E-3</v>
      </c>
      <c r="J14" s="1">
        <f t="shared" si="7"/>
        <v>4.700709322790507E-3</v>
      </c>
      <c r="K14" s="1">
        <f t="shared" si="7"/>
        <v>4.9410772081237148E-2</v>
      </c>
      <c r="L14" s="1">
        <f t="shared" si="7"/>
        <v>0.15565037275581661</v>
      </c>
      <c r="M14" s="1">
        <f t="shared" si="7"/>
        <v>0.24775045937700974</v>
      </c>
      <c r="Y14" s="2"/>
      <c r="Z14" s="2"/>
    </row>
    <row r="15" spans="2:26" x14ac:dyDescent="0.25">
      <c r="F15" s="4" t="s">
        <v>16</v>
      </c>
      <c r="G15" s="2">
        <f t="shared" ref="G15:M15" si="8">$C$7*(G$11/$C$6)^$C$8</f>
        <v>0.31441112668404247</v>
      </c>
      <c r="H15" s="2">
        <f t="shared" si="8"/>
        <v>0.31441112668404247</v>
      </c>
      <c r="I15" s="2">
        <f t="shared" si="8"/>
        <v>0.31441112668404247</v>
      </c>
      <c r="J15" s="2">
        <f t="shared" si="8"/>
        <v>0.31441112668404247</v>
      </c>
      <c r="K15" s="2">
        <f t="shared" si="8"/>
        <v>0.60413360659889825</v>
      </c>
      <c r="L15" s="2">
        <f t="shared" si="8"/>
        <v>0.35224934358841231</v>
      </c>
      <c r="M15" s="2">
        <f t="shared" si="8"/>
        <v>0.35224934358841231</v>
      </c>
      <c r="Y15" s="2"/>
      <c r="Z15" s="2"/>
    </row>
    <row r="16" spans="2:26" x14ac:dyDescent="0.25">
      <c r="F16" s="4" t="s">
        <v>24</v>
      </c>
      <c r="G16" s="3">
        <f t="shared" ref="G16:M16" si="9">2.6*(G$14*$C$4/G$15/$C$3/$C$9)^(1/3)</f>
        <v>5.8617746782288043</v>
      </c>
      <c r="H16" s="3">
        <f t="shared" si="9"/>
        <v>5.8617746782288043</v>
      </c>
      <c r="I16" s="3">
        <f t="shared" si="9"/>
        <v>6.0772229088993361</v>
      </c>
      <c r="J16" s="3">
        <f t="shared" si="9"/>
        <v>6.0772229088993361</v>
      </c>
      <c r="K16" s="3">
        <f t="shared" si="9"/>
        <v>10.708111499692865</v>
      </c>
      <c r="L16" s="3">
        <f t="shared" si="9"/>
        <v>18.789562178705367</v>
      </c>
      <c r="M16" s="3">
        <f t="shared" si="9"/>
        <v>21.938390455253231</v>
      </c>
      <c r="Y16" s="2"/>
      <c r="Z16" s="2"/>
    </row>
    <row r="17" spans="3:26" x14ac:dyDescent="0.25">
      <c r="F17" s="4" t="s">
        <v>25</v>
      </c>
      <c r="G17" s="3">
        <f t="shared" ref="G17:L17" si="10">G11+G16</f>
        <v>7.081774678228804</v>
      </c>
      <c r="H17" s="3">
        <f t="shared" si="10"/>
        <v>7.081774678228804</v>
      </c>
      <c r="I17" s="3">
        <f t="shared" si="10"/>
        <v>7.2972229088993359</v>
      </c>
      <c r="J17" s="3">
        <f t="shared" si="10"/>
        <v>7.2972229088993359</v>
      </c>
      <c r="K17" s="3">
        <f t="shared" si="10"/>
        <v>14.708111499692865</v>
      </c>
      <c r="L17" s="3">
        <f t="shared" si="10"/>
        <v>20.289562178705367</v>
      </c>
      <c r="M17" s="3">
        <f t="shared" ref="M17" si="11">M11+M16</f>
        <v>23.438390455253231</v>
      </c>
      <c r="Y17" s="2"/>
      <c r="Z17" s="2"/>
    </row>
    <row r="18" spans="3:26" x14ac:dyDescent="0.25">
      <c r="F18" s="22" t="s">
        <v>26</v>
      </c>
      <c r="G18" s="23">
        <f>G17/2</f>
        <v>3.540887339114402</v>
      </c>
      <c r="H18" s="23">
        <f t="shared" ref="H18:L18" si="12">H17/2</f>
        <v>3.540887339114402</v>
      </c>
      <c r="I18" s="23">
        <f t="shared" si="12"/>
        <v>3.6486114544496679</v>
      </c>
      <c r="J18" s="23">
        <f t="shared" si="12"/>
        <v>3.6486114544496679</v>
      </c>
      <c r="K18" s="23">
        <f t="shared" si="12"/>
        <v>7.3540557498464327</v>
      </c>
      <c r="L18" s="23">
        <f t="shared" si="12"/>
        <v>10.144781089352684</v>
      </c>
      <c r="M18" s="23">
        <f t="shared" ref="M18" si="13">M17/2</f>
        <v>11.719195227626615</v>
      </c>
    </row>
    <row r="19" spans="3:26" x14ac:dyDescent="0.25">
      <c r="E19">
        <v>4.3</v>
      </c>
      <c r="F19" s="22" t="s">
        <v>32</v>
      </c>
      <c r="G19" s="23">
        <f>G10/$E$19</f>
        <v>3.8171957833966266</v>
      </c>
      <c r="H19" s="23">
        <f t="shared" ref="H19:L19" si="14">H10/$E$19</f>
        <v>3.8171957833966266</v>
      </c>
      <c r="I19" s="23">
        <f t="shared" si="14"/>
        <v>4.0295681402469166</v>
      </c>
      <c r="J19" s="23">
        <f t="shared" si="14"/>
        <v>4.0295681402469166</v>
      </c>
      <c r="K19" s="23">
        <f t="shared" si="14"/>
        <v>14.964488339907124</v>
      </c>
      <c r="L19" s="23">
        <f t="shared" si="14"/>
        <v>20.90434853088648</v>
      </c>
      <c r="M19" s="23">
        <f t="shared" ref="M19" si="15">M10/$E$19</f>
        <v>26.373561996504076</v>
      </c>
    </row>
    <row r="20" spans="3:26" x14ac:dyDescent="0.25">
      <c r="E20">
        <v>4.3</v>
      </c>
      <c r="F20" s="22" t="s">
        <v>27</v>
      </c>
      <c r="G20" s="23">
        <f>G17/$E$20</f>
        <v>1.6469243437741405</v>
      </c>
      <c r="H20" s="23">
        <f t="shared" ref="H20:L20" si="16">H17/$E$20</f>
        <v>1.6469243437741405</v>
      </c>
      <c r="I20" s="23">
        <f t="shared" si="16"/>
        <v>1.6970285834649619</v>
      </c>
      <c r="J20" s="23">
        <f t="shared" si="16"/>
        <v>1.6970285834649619</v>
      </c>
      <c r="K20" s="23">
        <f t="shared" si="16"/>
        <v>3.4204910464402016</v>
      </c>
      <c r="L20" s="23">
        <f t="shared" si="16"/>
        <v>4.7185028322570624</v>
      </c>
      <c r="M20" s="23">
        <f t="shared" ref="M20" si="17">M17/$E$20</f>
        <v>5.450788477965868</v>
      </c>
    </row>
    <row r="21" spans="3:26" x14ac:dyDescent="0.25">
      <c r="F21" s="4" t="s">
        <v>37</v>
      </c>
      <c r="G21" s="3">
        <f t="shared" ref="G21:L21" si="18">G19*2.15+1</f>
        <v>9.2069709343027473</v>
      </c>
      <c r="H21" s="3">
        <f t="shared" si="18"/>
        <v>9.2069709343027473</v>
      </c>
      <c r="I21" s="3">
        <f t="shared" si="18"/>
        <v>9.6635715015308694</v>
      </c>
      <c r="J21" s="3">
        <f t="shared" si="18"/>
        <v>9.6635715015308694</v>
      </c>
      <c r="K21" s="3">
        <f t="shared" si="18"/>
        <v>33.173649930800316</v>
      </c>
      <c r="L21" s="3">
        <f t="shared" si="18"/>
        <v>45.944349341405932</v>
      </c>
      <c r="M21" s="3">
        <f t="shared" ref="M21" si="19">M19*2.15+1</f>
        <v>57.703158292483764</v>
      </c>
    </row>
    <row r="22" spans="3:26" x14ac:dyDescent="0.25">
      <c r="F22" s="4" t="s">
        <v>55</v>
      </c>
      <c r="G22">
        <v>61.04</v>
      </c>
      <c r="H22">
        <v>61.21</v>
      </c>
      <c r="I22">
        <v>54.11</v>
      </c>
      <c r="J22">
        <v>47.89</v>
      </c>
      <c r="K22">
        <v>62.66</v>
      </c>
      <c r="L22" s="2">
        <v>62.1</v>
      </c>
      <c r="M22">
        <v>60.44</v>
      </c>
    </row>
    <row r="24" spans="3:26" x14ac:dyDescent="0.25">
      <c r="F24" s="4" t="s">
        <v>36</v>
      </c>
      <c r="N24" s="34" t="s">
        <v>77</v>
      </c>
      <c r="O24" t="s">
        <v>78</v>
      </c>
    </row>
    <row r="25" spans="3:26" x14ac:dyDescent="0.25">
      <c r="F25" s="18" t="s">
        <v>34</v>
      </c>
      <c r="G25" s="19">
        <v>3.9482215182648397E-2</v>
      </c>
      <c r="H25" s="19">
        <v>3.9482215182648397E-2</v>
      </c>
      <c r="I25" s="19">
        <v>3.9482215182648397E-2</v>
      </c>
      <c r="J25" s="19">
        <v>3.9482215182648397E-2</v>
      </c>
      <c r="K25" s="19">
        <v>0</v>
      </c>
      <c r="L25" s="19">
        <f>N25*$L$8/($L$8+$M$8)</f>
        <v>0.12611781256862711</v>
      </c>
      <c r="M25" s="19">
        <f>N25*$M$8/($L$8+$M$8)</f>
        <v>0.20074314918936378</v>
      </c>
      <c r="N25" s="25">
        <v>0.3268609617579909</v>
      </c>
      <c r="O25" s="2">
        <f>(G25*4+L25+M25)*24*3600/453.5924</f>
        <v>92.342465753424662</v>
      </c>
      <c r="P25" s="26" t="s">
        <v>56</v>
      </c>
    </row>
    <row r="26" spans="3:26" x14ac:dyDescent="0.25">
      <c r="F26" s="18" t="s">
        <v>35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f t="shared" ref="L26:L28" si="20">N26*$L$8/($L$8+$M$8)</f>
        <v>5.3485795251303693E-5</v>
      </c>
      <c r="M26" s="19">
        <f t="shared" ref="M26:M28" si="21">N26*$M$8/($L$8+$M$8)</f>
        <v>8.5133945451216299E-5</v>
      </c>
      <c r="N26" s="25">
        <v>1.3861974070252E-4</v>
      </c>
      <c r="O26" s="2">
        <f>(L26+M26)*8760*3600/453.5924</f>
        <v>9.6375339242779869</v>
      </c>
      <c r="P26" s="26" t="s">
        <v>57</v>
      </c>
    </row>
    <row r="27" spans="3:26" x14ac:dyDescent="0.25">
      <c r="F27" s="18" t="s">
        <v>58</v>
      </c>
      <c r="G27" s="19">
        <v>0</v>
      </c>
      <c r="H27" s="19">
        <v>0</v>
      </c>
      <c r="I27" s="19">
        <v>0</v>
      </c>
      <c r="J27" s="19">
        <v>0</v>
      </c>
      <c r="K27" s="19">
        <v>1.2094801677934399E-5</v>
      </c>
      <c r="L27" s="19">
        <f t="shared" si="20"/>
        <v>5.770835803430136E-4</v>
      </c>
      <c r="M27" s="19">
        <f t="shared" si="21"/>
        <v>9.1855046407891285E-4</v>
      </c>
      <c r="N27" s="25">
        <v>1.4956340444219264E-3</v>
      </c>
      <c r="O27" s="2">
        <f>(K27+L27+M27)*8760*3600/453.5924</f>
        <v>104.82480943376744</v>
      </c>
      <c r="P27" s="26" t="s">
        <v>59</v>
      </c>
    </row>
    <row r="28" spans="3:26" x14ac:dyDescent="0.25">
      <c r="F28" s="18" t="s">
        <v>60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f t="shared" si="20"/>
        <v>9.2896381225948525E-4</v>
      </c>
      <c r="M28" s="19">
        <f t="shared" si="21"/>
        <v>1.4786422104684936E-3</v>
      </c>
      <c r="N28" s="25">
        <v>2.4076060227279789E-3</v>
      </c>
      <c r="O28" s="2">
        <f>(L28+M28)*8760*3600/453.5924</f>
        <v>167.38874710588084</v>
      </c>
      <c r="P28" s="26" t="s">
        <v>61</v>
      </c>
    </row>
    <row r="29" spans="3:26" x14ac:dyDescent="0.25">
      <c r="C29" s="35"/>
      <c r="F29" s="18" t="s">
        <v>62</v>
      </c>
      <c r="G29" s="19">
        <f>$H$38</f>
        <v>4.0505308500104463E-5</v>
      </c>
      <c r="H29" s="19">
        <f>$H$38</f>
        <v>4.0505308500104463E-5</v>
      </c>
      <c r="I29" s="19">
        <f>$H$38</f>
        <v>4.0505308500104463E-5</v>
      </c>
      <c r="J29" s="19">
        <f>$H$38</f>
        <v>4.0505308500104463E-5</v>
      </c>
      <c r="K29" s="19">
        <v>0</v>
      </c>
      <c r="L29" s="19">
        <f t="shared" ref="L29" si="22">N29*$L$8/($L$8+$M$8)</f>
        <v>3.7202106290933561E-4</v>
      </c>
      <c r="M29" s="19">
        <f t="shared" ref="M29" si="23">N29*$M$8/($L$8+$M$8)</f>
        <v>5.9215013495858787E-4</v>
      </c>
      <c r="N29" s="25">
        <f>$H$39</f>
        <v>9.6417119786792354E-4</v>
      </c>
      <c r="O29" s="2">
        <f>(G29*4+L29+M29)*8760*3600/453.5924</f>
        <v>78.298500000000018</v>
      </c>
      <c r="P29" s="26" t="s">
        <v>72</v>
      </c>
    </row>
    <row r="30" spans="3:26" x14ac:dyDescent="0.25">
      <c r="F30" s="18" t="s">
        <v>75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f t="shared" ref="L30" si="24">N30*$L$8/($L$8+$M$8)</f>
        <v>3.2372981336315407E-3</v>
      </c>
      <c r="M30" s="19">
        <f t="shared" ref="M30" si="25">N30*$M$8/($L$8+$M$8)</f>
        <v>5.152844066784147E-3</v>
      </c>
      <c r="N30" s="25">
        <v>8.3901422004156873E-3</v>
      </c>
      <c r="O30" s="2">
        <f>(L30+M30)*24*3600/453.5924</f>
        <v>1.5981491006373021</v>
      </c>
      <c r="P30" s="26" t="s">
        <v>76</v>
      </c>
    </row>
    <row r="31" spans="3:26" x14ac:dyDescent="0.25">
      <c r="C31" s="29"/>
      <c r="F31" s="18"/>
      <c r="G31" s="19"/>
      <c r="H31" s="19"/>
      <c r="I31" s="19"/>
      <c r="J31" s="19"/>
      <c r="K31" s="19"/>
      <c r="L31" s="19"/>
      <c r="M31" s="19"/>
      <c r="N31" s="33"/>
    </row>
    <row r="34" spans="6:16" x14ac:dyDescent="0.25">
      <c r="F34" s="30" t="s">
        <v>73</v>
      </c>
      <c r="G34" s="27" t="s">
        <v>63</v>
      </c>
      <c r="H34" s="27" t="s">
        <v>64</v>
      </c>
    </row>
    <row r="35" spans="6:16" x14ac:dyDescent="0.25">
      <c r="F35" s="27" t="s">
        <v>65</v>
      </c>
      <c r="G35" s="27">
        <v>78.298500000000033</v>
      </c>
      <c r="H35" s="29">
        <f>G35*453.5924/8760/3600</f>
        <v>1.1261924318683415E-3</v>
      </c>
      <c r="P35" s="26"/>
    </row>
    <row r="36" spans="6:16" x14ac:dyDescent="0.25">
      <c r="F36" s="27" t="s">
        <v>66</v>
      </c>
      <c r="G36" s="28">
        <v>0.14386638501168608</v>
      </c>
      <c r="H36" s="27"/>
      <c r="P36" s="26" t="s">
        <v>68</v>
      </c>
    </row>
    <row r="37" spans="6:16" x14ac:dyDescent="0.25">
      <c r="F37" s="27" t="s">
        <v>67</v>
      </c>
      <c r="G37" s="28">
        <v>0.85613361498831386</v>
      </c>
      <c r="H37" s="27"/>
      <c r="I37" s="31" t="s">
        <v>74</v>
      </c>
      <c r="P37" s="26" t="s">
        <v>69</v>
      </c>
    </row>
    <row r="38" spans="6:16" x14ac:dyDescent="0.25">
      <c r="F38" s="27" t="s">
        <v>70</v>
      </c>
      <c r="G38" s="27"/>
      <c r="H38" s="29">
        <f>$H$35*$G$36/4</f>
        <v>4.0505308500104463E-5</v>
      </c>
      <c r="I38" s="32">
        <f>H38*4+H39</f>
        <v>1.1261924318683415E-3</v>
      </c>
      <c r="J38" t="b">
        <f>(H35=I38)</f>
        <v>1</v>
      </c>
    </row>
    <row r="39" spans="6:16" x14ac:dyDescent="0.25">
      <c r="F39" s="27" t="s">
        <v>71</v>
      </c>
      <c r="G39" s="27"/>
      <c r="H39" s="29">
        <f>$H$35*$G$37</f>
        <v>9.6417119786792354E-4</v>
      </c>
    </row>
  </sheetData>
  <conditionalFormatting sqref="G25:M28">
    <cfRule type="cellIs" dxfId="3" priority="9" operator="greaterThan">
      <formula>0</formula>
    </cfRule>
  </conditionalFormatting>
  <conditionalFormatting sqref="G31:M31">
    <cfRule type="cellIs" dxfId="2" priority="5" operator="greaterThan">
      <formula>0</formula>
    </cfRule>
  </conditionalFormatting>
  <conditionalFormatting sqref="G29:M29">
    <cfRule type="cellIs" dxfId="1" priority="4" operator="greaterThan">
      <formula>0</formula>
    </cfRule>
  </conditionalFormatting>
  <conditionalFormatting sqref="G30:M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"/>
  <sheetViews>
    <sheetView workbookViewId="0">
      <selection activeCell="U11" sqref="U11"/>
    </sheetView>
  </sheetViews>
  <sheetFormatPr defaultRowHeight="15" x14ac:dyDescent="0.25"/>
  <cols>
    <col min="1" max="1" width="10.140625" bestFit="1" customWidth="1"/>
    <col min="2" max="2" width="6" bestFit="1" customWidth="1"/>
    <col min="3" max="3" width="9.5703125" bestFit="1" customWidth="1"/>
    <col min="4" max="4" width="10.5703125" bestFit="1" customWidth="1"/>
    <col min="6" max="7" width="12" bestFit="1" customWidth="1"/>
    <col min="8" max="8" width="15.5703125" bestFit="1" customWidth="1"/>
    <col min="9" max="10" width="12" bestFit="1" customWidth="1"/>
    <col min="11" max="11" width="14.7109375" bestFit="1" customWidth="1"/>
    <col min="12" max="12" width="11.5703125" bestFit="1" customWidth="1"/>
    <col min="15" max="15" width="9.5703125" bestFit="1" customWidth="1"/>
    <col min="16" max="16" width="10.5703125" bestFit="1" customWidth="1"/>
    <col min="21" max="21" width="10.5703125" bestFit="1" customWidth="1"/>
    <col min="22" max="22" width="11.5703125" bestFit="1" customWidth="1"/>
  </cols>
  <sheetData>
    <row r="1" spans="1:23" x14ac:dyDescent="0.25">
      <c r="A1" t="s">
        <v>52</v>
      </c>
    </row>
    <row r="2" spans="1:23" x14ac:dyDescent="0.25">
      <c r="A2" s="4" t="s">
        <v>53</v>
      </c>
      <c r="B2" s="4" t="s">
        <v>42</v>
      </c>
      <c r="C2" s="4" t="s">
        <v>40</v>
      </c>
      <c r="D2" s="4" t="s">
        <v>41</v>
      </c>
      <c r="E2" s="4"/>
      <c r="F2" s="4" t="s">
        <v>43</v>
      </c>
      <c r="G2" s="4" t="s">
        <v>44</v>
      </c>
      <c r="H2" s="4" t="s">
        <v>51</v>
      </c>
      <c r="I2" s="4" t="s">
        <v>46</v>
      </c>
      <c r="J2" s="4" t="s">
        <v>48</v>
      </c>
      <c r="K2" s="4" t="s">
        <v>47</v>
      </c>
      <c r="M2" s="4" t="s">
        <v>54</v>
      </c>
      <c r="N2" s="4" t="s">
        <v>42</v>
      </c>
      <c r="O2" s="4" t="s">
        <v>40</v>
      </c>
      <c r="P2" s="4" t="s">
        <v>41</v>
      </c>
      <c r="Q2" s="4"/>
      <c r="R2" s="4" t="s">
        <v>43</v>
      </c>
      <c r="S2" s="4" t="s">
        <v>44</v>
      </c>
      <c r="T2" s="4" t="s">
        <v>51</v>
      </c>
      <c r="U2" s="4" t="s">
        <v>46</v>
      </c>
      <c r="V2" s="4" t="s">
        <v>48</v>
      </c>
      <c r="W2" s="4" t="s">
        <v>47</v>
      </c>
    </row>
    <row r="3" spans="1:23" x14ac:dyDescent="0.25">
      <c r="B3">
        <v>0</v>
      </c>
      <c r="C3" s="2">
        <v>551990.61124950903</v>
      </c>
      <c r="D3" s="2">
        <v>5342402.0450700996</v>
      </c>
      <c r="F3">
        <f>C3*D4</f>
        <v>2948998464283.9482</v>
      </c>
      <c r="G3">
        <f>C4*D3</f>
        <v>2948952667019.5928</v>
      </c>
      <c r="H3">
        <f>F3-G3</f>
        <v>45797264.35546875</v>
      </c>
      <c r="I3" s="2">
        <f>C3+C4</f>
        <v>1103980.641603149</v>
      </c>
      <c r="J3" s="2">
        <f>D3+D4</f>
        <v>10684881.435450438</v>
      </c>
      <c r="K3">
        <f>C3*D4-C4*D3</f>
        <v>45797264.35546875</v>
      </c>
      <c r="N3">
        <v>0</v>
      </c>
      <c r="O3" s="2">
        <v>551984.71427316603</v>
      </c>
      <c r="P3" s="2">
        <v>5342485.5177595504</v>
      </c>
      <c r="R3">
        <f>O3*P4</f>
        <v>2949007995133.563</v>
      </c>
      <c r="S3">
        <f>O4*P3</f>
        <v>2948965656136.9458</v>
      </c>
      <c r="T3">
        <f>R3-S3</f>
        <v>42338996.6171875</v>
      </c>
      <c r="U3" s="2">
        <f>O3+O4</f>
        <v>1103968.5514466991</v>
      </c>
      <c r="V3" s="2">
        <f>P3+P4</f>
        <v>10685039.249553941</v>
      </c>
      <c r="W3">
        <f>O3*P4-O4*P3</f>
        <v>42338996.6171875</v>
      </c>
    </row>
    <row r="4" spans="1:23" x14ac:dyDescent="0.25">
      <c r="B4">
        <v>1</v>
      </c>
      <c r="C4" s="2">
        <v>551990.03035363997</v>
      </c>
      <c r="D4" s="2">
        <v>5342479.3903803397</v>
      </c>
      <c r="F4">
        <f t="shared" ref="F4:F6" si="0">C4*D5</f>
        <v>2948994693027.249</v>
      </c>
      <c r="G4">
        <f t="shared" ref="G4:G6" si="1">C5*D4</f>
        <v>2948437137872.7808</v>
      </c>
      <c r="H4">
        <f t="shared" ref="H4:H7" si="2">F4-G4</f>
        <v>557555154.46826172</v>
      </c>
      <c r="I4" s="2">
        <f t="shared" ref="I4:I6" si="3">C4+C5</f>
        <v>1103875.57308156</v>
      </c>
      <c r="J4" s="2">
        <f>D4+D5</f>
        <v>10684957.570897359</v>
      </c>
      <c r="K4">
        <f>C4*D5-C5*D4</f>
        <v>557555154.46826172</v>
      </c>
      <c r="N4">
        <v>1</v>
      </c>
      <c r="O4" s="2">
        <v>551983.83717353304</v>
      </c>
      <c r="P4" s="2">
        <v>5342553.7317943899</v>
      </c>
      <c r="R4">
        <f t="shared" ref="R4:R6" si="4">O4*P5</f>
        <v>2949033534052.2363</v>
      </c>
      <c r="S4">
        <f t="shared" ref="S4:S6" si="5">O5*P4</f>
        <v>2948648543284.2192</v>
      </c>
      <c r="T4">
        <f t="shared" ref="T4:T7" si="6">R4-S4</f>
        <v>384990768.01708984</v>
      </c>
      <c r="U4" s="2">
        <f t="shared" ref="U4:U6" si="7">O4+O5</f>
        <v>1103901.2705418379</v>
      </c>
      <c r="V4" s="2">
        <f>P4+P5</f>
        <v>10685162.22039243</v>
      </c>
      <c r="W4">
        <f>O4*P5-O5*P4</f>
        <v>384990768.01708984</v>
      </c>
    </row>
    <row r="5" spans="1:23" x14ac:dyDescent="0.25">
      <c r="B5">
        <v>2</v>
      </c>
      <c r="C5" s="2">
        <v>551885.54272791999</v>
      </c>
      <c r="D5" s="2">
        <v>5342478.1805170197</v>
      </c>
      <c r="F5">
        <f t="shared" si="0"/>
        <v>2948424706974.9321</v>
      </c>
      <c r="G5">
        <f t="shared" si="1"/>
        <v>2948535142496.1523</v>
      </c>
      <c r="H5">
        <f t="shared" si="2"/>
        <v>-110435521.22021484</v>
      </c>
      <c r="I5" s="2">
        <f t="shared" si="3"/>
        <v>1103789.5548489029</v>
      </c>
      <c r="J5" s="2">
        <f>D5+D6</f>
        <v>10684935.046484441</v>
      </c>
      <c r="K5">
        <f>C5*D6-C6*D5</f>
        <v>-110435521.22021484</v>
      </c>
      <c r="N5">
        <v>2</v>
      </c>
      <c r="O5" s="2">
        <v>551917.43336830498</v>
      </c>
      <c r="P5" s="2">
        <v>5342608.4885980403</v>
      </c>
      <c r="R5">
        <f t="shared" si="4"/>
        <v>2948619771785.1699</v>
      </c>
      <c r="S5">
        <f t="shared" si="5"/>
        <v>2948380569093.9277</v>
      </c>
      <c r="T5">
        <f t="shared" si="6"/>
        <v>239202691.2421875</v>
      </c>
      <c r="U5" s="2">
        <f t="shared" si="7"/>
        <v>1103779.0521611159</v>
      </c>
      <c r="V5" s="2">
        <f>P5+P6</f>
        <v>10685110.090314072</v>
      </c>
      <c r="W5">
        <f>O5*P6-O6*P5</f>
        <v>239202691.2421875</v>
      </c>
    </row>
    <row r="6" spans="1:23" x14ac:dyDescent="0.25">
      <c r="B6">
        <v>3</v>
      </c>
      <c r="C6" s="2">
        <v>551904.01212098298</v>
      </c>
      <c r="D6" s="2">
        <v>5342456.8659674199</v>
      </c>
      <c r="F6">
        <f t="shared" si="0"/>
        <v>2948492468159.9819</v>
      </c>
      <c r="G6">
        <f t="shared" si="1"/>
        <v>2948625269792.3589</v>
      </c>
      <c r="H6">
        <f t="shared" si="2"/>
        <v>-132801632.37695313</v>
      </c>
      <c r="I6" s="2">
        <f t="shared" si="3"/>
        <v>1103827.0961566679</v>
      </c>
      <c r="J6" s="2">
        <f>D6+D7</f>
        <v>10684857.72445881</v>
      </c>
      <c r="K6">
        <f>C6*D7-C7*D6</f>
        <v>-132801632.37695313</v>
      </c>
      <c r="N6">
        <v>3</v>
      </c>
      <c r="O6" s="2">
        <v>551861.61879281094</v>
      </c>
      <c r="P6" s="2">
        <v>5342501.6017160304</v>
      </c>
      <c r="R6">
        <f t="shared" si="4"/>
        <v>2948312795490.5845</v>
      </c>
      <c r="S6">
        <f t="shared" si="5"/>
        <v>2948404082632.9067</v>
      </c>
      <c r="T6">
        <f t="shared" si="6"/>
        <v>-91287142.322265625</v>
      </c>
      <c r="U6" s="2">
        <f t="shared" si="7"/>
        <v>1103738.6798471059</v>
      </c>
      <c r="V6" s="2">
        <f>P6+P7</f>
        <v>10684987.281260069</v>
      </c>
      <c r="W6">
        <f>O6*P7-O7*P6</f>
        <v>-91287142.322265625</v>
      </c>
    </row>
    <row r="7" spans="1:23" x14ac:dyDescent="0.25">
      <c r="B7">
        <v>4</v>
      </c>
      <c r="C7" s="2">
        <v>551923.08403568505</v>
      </c>
      <c r="D7" s="2">
        <v>5342400.85849139</v>
      </c>
      <c r="F7">
        <f>C7*D3</f>
        <v>2948595012873.6401</v>
      </c>
      <c r="G7">
        <f>C3*D7</f>
        <v>2948955115418.564</v>
      </c>
      <c r="H7">
        <f t="shared" si="2"/>
        <v>-360102544.92382813</v>
      </c>
      <c r="I7" s="2">
        <f>C7+C3</f>
        <v>1103913.6952851941</v>
      </c>
      <c r="J7" s="2">
        <f>D7+D3</f>
        <v>10684802.90356149</v>
      </c>
      <c r="K7">
        <f>C7*D3-C3*D7</f>
        <v>-360102544.92382813</v>
      </c>
      <c r="N7">
        <v>4</v>
      </c>
      <c r="O7" s="2">
        <v>551877.06105429505</v>
      </c>
      <c r="P7" s="2">
        <v>5342485.67954404</v>
      </c>
      <c r="R7">
        <f>O7*P3</f>
        <v>2948395206266.2744</v>
      </c>
      <c r="S7">
        <f>O3*P7</f>
        <v>2948970431331.5981</v>
      </c>
      <c r="T7">
        <f t="shared" si="6"/>
        <v>-575225065.32373047</v>
      </c>
      <c r="U7" s="2">
        <f>O7+O3</f>
        <v>1103861.7753274611</v>
      </c>
      <c r="V7" s="2">
        <f>P7+P3</f>
        <v>10684971.197303589</v>
      </c>
      <c r="W7">
        <f>O7*P3-O3*P7</f>
        <v>-575225065.32373047</v>
      </c>
    </row>
    <row r="8" spans="1:23" x14ac:dyDescent="0.25">
      <c r="C8" s="2"/>
      <c r="D8" s="2"/>
      <c r="I8" s="2"/>
      <c r="J8" s="2"/>
      <c r="O8" s="2"/>
      <c r="P8" s="2"/>
      <c r="U8" s="2"/>
      <c r="V8" s="2"/>
    </row>
    <row r="10" spans="1:23" x14ac:dyDescent="0.25">
      <c r="F10" t="s">
        <v>45</v>
      </c>
      <c r="I10" s="20" t="s">
        <v>49</v>
      </c>
      <c r="J10" s="20" t="s">
        <v>50</v>
      </c>
      <c r="R10" t="s">
        <v>45</v>
      </c>
      <c r="U10" s="20" t="s">
        <v>49</v>
      </c>
      <c r="V10" s="20" t="s">
        <v>50</v>
      </c>
    </row>
    <row r="11" spans="1:23" x14ac:dyDescent="0.25">
      <c r="F11" s="3">
        <f>SUM(H3:H7)/2</f>
        <v>6360.1513671875</v>
      </c>
      <c r="I11" s="21">
        <f>SUMPRODUCT(I3:I7,K3:K7)/(6*$F$11)</f>
        <v>551948.67969855235</v>
      </c>
      <c r="J11" s="21">
        <f>SUMPRODUCT(J3:J7,K3:K7)/(6*$F$11)</f>
        <v>5342442.7244057273</v>
      </c>
      <c r="R11" s="3">
        <f>SUM(T3:T7)/2</f>
        <v>10124.115234375</v>
      </c>
      <c r="U11" s="21">
        <f>SUMPRODUCT(U3:U7,W3:W7)/(6*$R$11)</f>
        <v>551929.13388766418</v>
      </c>
      <c r="V11" s="21">
        <f>SUMPRODUCT(V3:V7,W3:W7)/(6*$R$11)</f>
        <v>5342532.2443503132</v>
      </c>
    </row>
  </sheetData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Volume sources</vt:lpstr>
      <vt:lpstr>TW Centroid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2020-03-12T09:16:25Z</dcterms:modified>
</cp:coreProperties>
</file>