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28780E58-9263-43DA-BAAE-0613C8341A4C}" xr6:coauthVersionLast="44" xr6:coauthVersionMax="44" xr10:uidLastSave="{00000000-0000-0000-0000-000000000000}"/>
  <bookViews>
    <workbookView xWindow="4950" yWindow="285" windowWidth="21885" windowHeight="15225" activeTab="1" xr2:uid="{00000000-000D-0000-FFFF-FFFF00000000}"/>
  </bookViews>
  <sheets>
    <sheet name="README" sheetId="18" r:id="rId1"/>
    <sheet name="VOC_CARB" sheetId="17" r:id="rId2"/>
    <sheet name="NH3_CARB" sheetId="1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7" l="1"/>
  <c r="C18" i="19" l="1"/>
  <c r="C19" i="17"/>
  <c r="C22" i="19" l="1"/>
  <c r="E29" i="19" s="1"/>
  <c r="E33" i="19" s="1"/>
  <c r="C21" i="19"/>
  <c r="F28" i="19" s="1"/>
  <c r="C19" i="19"/>
  <c r="C21" i="17"/>
  <c r="C22" i="17"/>
  <c r="F29" i="19" l="1"/>
  <c r="C20" i="19"/>
  <c r="D29" i="19" s="1"/>
  <c r="E28" i="19"/>
  <c r="E32" i="19" s="1"/>
  <c r="E34" i="19" s="1"/>
  <c r="E36" i="19" s="1"/>
  <c r="E37" i="19" s="1"/>
  <c r="F29" i="17"/>
  <c r="D33" i="19" l="1"/>
  <c r="D28" i="19"/>
  <c r="G29" i="19"/>
  <c r="C20" i="17"/>
  <c r="F28" i="17"/>
  <c r="G28" i="19" l="1"/>
  <c r="D32" i="19"/>
  <c r="D34" i="19" s="1"/>
  <c r="H29" i="19"/>
  <c r="I29" i="19" s="1"/>
  <c r="K29" i="19"/>
  <c r="D28" i="17"/>
  <c r="D29" i="17"/>
  <c r="D36" i="19" l="1"/>
  <c r="D37" i="19" s="1"/>
  <c r="D38" i="19" s="1"/>
  <c r="J34" i="19"/>
  <c r="K34" i="19"/>
  <c r="H28" i="19"/>
  <c r="I28" i="19" s="1"/>
  <c r="K28" i="19"/>
  <c r="E28" i="17"/>
  <c r="E29" i="17"/>
  <c r="G29" i="17" l="1"/>
  <c r="H29" i="17" s="1"/>
  <c r="I29" i="17" s="1"/>
  <c r="G28" i="17"/>
  <c r="H28" i="17" s="1"/>
  <c r="I28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From "Final Report - Compost VOC EF.DOCX"</t>
        </r>
      </text>
    </comment>
    <comment ref="C7" authorId="0" shapeId="0" xr:uid="{9AC86301-2491-46E1-8438-DA82A2F8215C}">
      <text>
        <r>
          <rPr>
            <sz val="9"/>
            <color indexed="81"/>
            <rFont val="Tahoma"/>
            <charset val="1"/>
          </rPr>
          <t xml:space="preserve">
From "26437_A1665_AC_Eval_HRA.pdf" for Alameda County, page 17 of the pdf: "90% of the VOC emissions happen in the active phase of composting".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22897D34-4465-4C50-AF6B-40DC851ABC85}">
      <text>
        <r>
          <rPr>
            <sz val="9"/>
            <color indexed="81"/>
            <rFont val="Tahoma"/>
            <charset val="1"/>
          </rPr>
          <t xml:space="preserve">
From "26437_A1665_AC_Eval_HRA.pdf" for Alameda County, page 21 of the pdf. See table: the average value for NH3 emissions from stockpiling is 0.02 lb/wet-ton/day</t>
        </r>
      </text>
    </comment>
    <comment ref="C7" authorId="0" shapeId="0" xr:uid="{24AC7ADF-C881-4639-BEE8-4A97599687CC}">
      <text>
        <r>
          <rPr>
            <sz val="9"/>
            <color indexed="81"/>
            <rFont val="Tahoma"/>
            <charset val="1"/>
          </rPr>
          <t xml:space="preserve">
From "26437_A1665_AC_Eval_HRA.pdf" for Alameda County, page 20 of the pdf: "70% of the NH3 emissions happen in the active phase of composting".</t>
        </r>
      </text>
    </comment>
  </commentList>
</comments>
</file>

<file path=xl/sharedStrings.xml><?xml version="1.0" encoding="utf-8"?>
<sst xmlns="http://schemas.openxmlformats.org/spreadsheetml/2006/main" count="111" uniqueCount="57">
  <si>
    <t>tpy waste</t>
  </si>
  <si>
    <t>Current scenario</t>
  </si>
  <si>
    <t>Future scenario</t>
  </si>
  <si>
    <t>1 ton =</t>
  </si>
  <si>
    <t>lb</t>
  </si>
  <si>
    <t>Windrow</t>
  </si>
  <si>
    <t>Units</t>
  </si>
  <si>
    <t>VOC</t>
  </si>
  <si>
    <t>lb/wet ton</t>
  </si>
  <si>
    <t>%</t>
  </si>
  <si>
    <t>Assumptions</t>
  </si>
  <si>
    <t>Calculations</t>
  </si>
  <si>
    <t>Value</t>
  </si>
  <si>
    <t>Species</t>
  </si>
  <si>
    <t>Input values</t>
  </si>
  <si>
    <t>Total</t>
  </si>
  <si>
    <t>Control efficiency positive flow (biofilter cover 1-foot)</t>
  </si>
  <si>
    <t>CASP+Biofilter</t>
  </si>
  <si>
    <t>Output</t>
  </si>
  <si>
    <t>PTE</t>
  </si>
  <si>
    <t>t/y VOC</t>
  </si>
  <si>
    <t>lb-VOC/wet-ton/day</t>
  </si>
  <si>
    <t>VOC emission from active composting (remainder in windrows)</t>
  </si>
  <si>
    <t>CASP uncontrolled VOC EF</t>
  </si>
  <si>
    <t>Biofilter VOC EF after emissions control</t>
  </si>
  <si>
    <t>CASP+Biofilter VOC EF after emissions control</t>
  </si>
  <si>
    <t>Stockpiling</t>
  </si>
  <si>
    <t>NH3</t>
  </si>
  <si>
    <r>
      <t xml:space="preserve">Fraction of time with </t>
    </r>
    <r>
      <rPr>
        <sz val="11"/>
        <color rgb="FFFF0000"/>
        <rFont val="Calibri"/>
        <family val="2"/>
        <scheme val="minor"/>
      </rPr>
      <t>positive</t>
    </r>
    <r>
      <rPr>
        <sz val="11"/>
        <color theme="1"/>
        <rFont val="Calibri"/>
        <family val="2"/>
        <scheme val="minor"/>
      </rPr>
      <t xml:space="preserve"> flow</t>
    </r>
  </si>
  <si>
    <r>
      <t xml:space="preserve">Fraction of time with </t>
    </r>
    <r>
      <rPr>
        <sz val="11"/>
        <color rgb="FFFF0000"/>
        <rFont val="Calibri"/>
        <family val="2"/>
        <scheme val="minor"/>
      </rPr>
      <t>negative</t>
    </r>
    <r>
      <rPr>
        <sz val="11"/>
        <color theme="1"/>
        <rFont val="Calibri"/>
        <family val="2"/>
        <scheme val="minor"/>
      </rPr>
      <t xml:space="preserve"> flow</t>
    </r>
  </si>
  <si>
    <t>Control efficiency negative flow (engineered biofilter)</t>
  </si>
  <si>
    <t>Enclosed stockpile under negative air to biofilter</t>
  </si>
  <si>
    <t>CASP VOC EF after emissions control (compost blanket)</t>
  </si>
  <si>
    <t>Windrow emission reduction due to moisturing (California rule 4566)</t>
  </si>
  <si>
    <t>CASP uncontrolled NH3 EF</t>
  </si>
  <si>
    <t>lb-NH3/wet-ton/day</t>
  </si>
  <si>
    <t>NH3 emission from active composting (remainder in windrows)</t>
  </si>
  <si>
    <t>Biofilter NH3 EF after emissions control</t>
  </si>
  <si>
    <t>CASP+Biofilter NH3 EF after emissions control</t>
  </si>
  <si>
    <t>t/y NH3</t>
  </si>
  <si>
    <t>Stockpiling max retention time</t>
  </si>
  <si>
    <t>days</t>
  </si>
  <si>
    <t>Stockpiling VOC EF</t>
  </si>
  <si>
    <t>Windrow VOC EF (including moisturing)</t>
  </si>
  <si>
    <t>CASP NH3 EF after emissions control (compost blanket)</t>
  </si>
  <si>
    <t>Stockpiling NH3 EF</t>
  </si>
  <si>
    <t>Windrow NH3 EF (including moisturing)</t>
  </si>
  <si>
    <t>lb NH3</t>
  </si>
  <si>
    <t>Biofilter</t>
  </si>
  <si>
    <t>lb VOC</t>
  </si>
  <si>
    <t>lb-VOC/wet-ton</t>
  </si>
  <si>
    <t>Increase</t>
  </si>
  <si>
    <t>grams</t>
  </si>
  <si>
    <t>g/s</t>
  </si>
  <si>
    <t>g/s per biofilter</t>
  </si>
  <si>
    <t>"Final Report - Compost VOC EF.DOCX" received from PSCAA on October 2, 2019.</t>
  </si>
  <si>
    <t>"Lenz Emission Review NOC #11753.docx" received from PSCAA on October 2,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</si>
</sst>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"/>
    <numFmt numFmtId="167" formatCode="_(* #,##0_);_(* \(#,##0\);_(* &quot;-&quot;??_);_(@_)"/>
    <numFmt numFmtId="168" formatCode="0.000000E+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rgb="FF7F7F7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8EAA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1EAFF"/>
        <bgColor indexed="64"/>
      </patternFill>
    </fill>
    <fill>
      <patternFill patternType="solid">
        <fgColor rgb="FFFFEDC1"/>
        <bgColor indexed="64"/>
      </patternFill>
    </fill>
    <fill>
      <patternFill patternType="solid">
        <fgColor rgb="FFEAF8D8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/>
    </xf>
    <xf numFmtId="0" fontId="7" fillId="0" borderId="0" applyNumberFormat="0" applyFill="0" applyBorder="0" applyProtection="0">
      <alignment horizontal="right" vertical="center"/>
    </xf>
    <xf numFmtId="0" fontId="11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4" fillId="4" borderId="0" applyNumberFormat="0" applyFont="0" applyBorder="0" applyAlignment="0" applyProtection="0">
      <alignment vertical="center"/>
    </xf>
    <xf numFmtId="0" fontId="4" fillId="5" borderId="0" applyNumberFormat="0" applyFont="0" applyBorder="0" applyAlignment="0" applyProtection="0">
      <alignment vertical="center"/>
    </xf>
    <xf numFmtId="0" fontId="4" fillId="6" borderId="0" applyNumberFormat="0" applyFont="0" applyBorder="0" applyAlignment="0" applyProtection="0">
      <alignment vertical="center"/>
    </xf>
    <xf numFmtId="0" fontId="4" fillId="7" borderId="0" applyNumberFormat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1" fillId="0" borderId="0" applyNumberFormat="0" applyFill="0" applyBorder="0" applyProtection="0">
      <alignment horizontal="right"/>
    </xf>
    <xf numFmtId="0" fontId="5" fillId="7" borderId="0" applyFont="0" applyBorder="0" applyAlignment="0" applyProtection="0">
      <alignment horizontal="left"/>
    </xf>
    <xf numFmtId="0" fontId="5" fillId="0" borderId="0"/>
    <xf numFmtId="0" fontId="5" fillId="5" borderId="0" applyFont="0" applyBorder="0" applyAlignment="0" applyProtection="0"/>
    <xf numFmtId="164" fontId="5" fillId="0" borderId="0" applyFont="0" applyFill="0" applyBorder="0" applyAlignment="0" applyProtection="0"/>
    <xf numFmtId="0" fontId="14" fillId="0" borderId="0"/>
    <xf numFmtId="0" fontId="4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Fill="1"/>
    <xf numFmtId="165" fontId="1" fillId="0" borderId="0" xfId="0" applyNumberFormat="1" applyFont="1" applyFill="1"/>
    <xf numFmtId="166" fontId="0" fillId="0" borderId="0" xfId="0" applyNumberFormat="1" applyFill="1"/>
    <xf numFmtId="0" fontId="2" fillId="0" borderId="0" xfId="0" applyFont="1"/>
    <xf numFmtId="0" fontId="2" fillId="0" borderId="0" xfId="0" applyFont="1" applyFill="1"/>
    <xf numFmtId="166" fontId="0" fillId="0" borderId="0" xfId="0" applyNumberFormat="1" applyFont="1" applyFill="1"/>
    <xf numFmtId="166" fontId="2" fillId="0" borderId="0" xfId="0" applyNumberFormat="1" applyFont="1" applyFill="1"/>
    <xf numFmtId="2" fontId="0" fillId="0" borderId="0" xfId="0" applyNumberFormat="1" applyFill="1"/>
    <xf numFmtId="166" fontId="0" fillId="0" borderId="0" xfId="0" applyNumberFormat="1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2" fillId="3" borderId="0" xfId="0" applyFont="1" applyFill="1"/>
    <xf numFmtId="0" fontId="0" fillId="3" borderId="0" xfId="0" applyFill="1"/>
    <xf numFmtId="165" fontId="0" fillId="3" borderId="0" xfId="0" applyNumberFormat="1" applyFill="1"/>
    <xf numFmtId="165" fontId="0" fillId="2" borderId="0" xfId="0" applyNumberFormat="1" applyFill="1"/>
    <xf numFmtId="167" fontId="0" fillId="0" borderId="0" xfId="1" applyNumberFormat="1" applyFont="1"/>
    <xf numFmtId="164" fontId="0" fillId="0" borderId="0" xfId="0" applyNumberFormat="1"/>
    <xf numFmtId="0" fontId="0" fillId="0" borderId="0" xfId="0"/>
    <xf numFmtId="167" fontId="0" fillId="0" borderId="0" xfId="1" applyNumberFormat="1" applyFont="1" applyFill="1"/>
    <xf numFmtId="164" fontId="0" fillId="0" borderId="0" xfId="0" applyNumberFormat="1" applyFill="1"/>
    <xf numFmtId="0" fontId="16" fillId="0" borderId="0" xfId="0" applyFont="1" applyFill="1"/>
    <xf numFmtId="165" fontId="0" fillId="3" borderId="0" xfId="0" applyNumberFormat="1" applyFont="1" applyFill="1"/>
    <xf numFmtId="165" fontId="1" fillId="3" borderId="0" xfId="0" applyNumberFormat="1" applyFont="1" applyFill="1"/>
    <xf numFmtId="167" fontId="0" fillId="0" borderId="0" xfId="0" applyNumberFormat="1"/>
    <xf numFmtId="43" fontId="0" fillId="0" borderId="0" xfId="0" applyNumberFormat="1"/>
    <xf numFmtId="164" fontId="2" fillId="0" borderId="0" xfId="0" applyNumberFormat="1" applyFont="1" applyFill="1"/>
    <xf numFmtId="164" fontId="2" fillId="0" borderId="0" xfId="0" applyNumberFormat="1" applyFont="1"/>
    <xf numFmtId="2" fontId="0" fillId="0" borderId="0" xfId="0" applyNumberFormat="1"/>
    <xf numFmtId="168" fontId="0" fillId="0" borderId="0" xfId="0" applyNumberForma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22">
    <cellStyle name="Comma" xfId="1" builtinId="3"/>
    <cellStyle name="Comma 2" xfId="19" xr:uid="{00000000-0005-0000-0000-000001000000}"/>
    <cellStyle name="Doc Code" xfId="15" xr:uid="{00000000-0005-0000-0000-000002000000}"/>
    <cellStyle name="Emission Totals" xfId="12" xr:uid="{00000000-0005-0000-0000-000003000000}"/>
    <cellStyle name="Enter Info" xfId="10" xr:uid="{00000000-0005-0000-0000-000004000000}"/>
    <cellStyle name="Hyperlink 2" xfId="2" xr:uid="{00000000-0005-0000-0000-000005000000}"/>
    <cellStyle name="Key Info" xfId="14" xr:uid="{00000000-0005-0000-0000-000006000000}"/>
    <cellStyle name="Normal" xfId="0" builtinId="0"/>
    <cellStyle name="Normal 2" xfId="17" xr:uid="{00000000-0005-0000-0000-000008000000}"/>
    <cellStyle name="Normal 2 2" xfId="20" xr:uid="{00000000-0005-0000-0000-000009000000}"/>
    <cellStyle name="Normal 7" xfId="21" xr:uid="{00000000-0005-0000-0000-00000A000000}"/>
    <cellStyle name="PCA Body Text" xfId="5" xr:uid="{00000000-0005-0000-0000-00000B000000}"/>
    <cellStyle name="PCA Heading 1" xfId="6" xr:uid="{00000000-0005-0000-0000-00000C000000}"/>
    <cellStyle name="PCA Heading 2" xfId="8" xr:uid="{00000000-0005-0000-0000-00000D000000}"/>
    <cellStyle name="PCA Heading 3" xfId="9" xr:uid="{00000000-0005-0000-0000-00000E000000}"/>
    <cellStyle name="PCA Hyperlink" xfId="7" xr:uid="{00000000-0005-0000-0000-00000F000000}"/>
    <cellStyle name="PCA Subtitle" xfId="4" xr:uid="{00000000-0005-0000-0000-000010000000}"/>
    <cellStyle name="PCA Title" xfId="3" xr:uid="{00000000-0005-0000-0000-000011000000}"/>
    <cellStyle name="Permit Thresholds" xfId="16" xr:uid="{00000000-0005-0000-0000-000012000000}"/>
    <cellStyle name="Standard Value" xfId="18" xr:uid="{00000000-0005-0000-0000-000013000000}"/>
    <cellStyle name="Standard Values" xfId="11" xr:uid="{00000000-0005-0000-0000-000014000000}"/>
    <cellStyle name="Thresholds" xfId="13" xr:uid="{00000000-0005-0000-0000-00001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398857</xdr:colOff>
      <xdr:row>37</xdr:row>
      <xdr:rowOff>75381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E2301B-69F2-4DB8-8814-211C5A701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9542857" cy="655238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29</xdr:col>
      <xdr:colOff>94324</xdr:colOff>
      <xdr:row>15</xdr:row>
      <xdr:rowOff>66381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8F2B06-3BE6-4C7D-AEBB-CF752074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3200" y="571500"/>
          <a:ext cx="7409524" cy="23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599239</xdr:colOff>
      <xdr:row>2</xdr:row>
      <xdr:rowOff>0</xdr:rowOff>
    </xdr:from>
    <xdr:to>
      <xdr:col>10</xdr:col>
      <xdr:colOff>581025</xdr:colOff>
      <xdr:row>16</xdr:row>
      <xdr:rowOff>13025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2414" y="381000"/>
          <a:ext cx="4487111" cy="2773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599239</xdr:colOff>
      <xdr:row>2</xdr:row>
      <xdr:rowOff>0</xdr:rowOff>
    </xdr:from>
    <xdr:to>
      <xdr:col>10</xdr:col>
      <xdr:colOff>581025</xdr:colOff>
      <xdr:row>16</xdr:row>
      <xdr:rowOff>13025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771C5E-F8BA-4885-9604-935E1D11D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7739" y="381000"/>
          <a:ext cx="4487111" cy="268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"/>
  <sheetViews>
    <sheetView workbookViewId="0">
      <selection activeCell="A27" sqref="A27"/>
    </sheetView>
  </sheetViews>
  <sheetFormatPr defaultRowHeight="15" x14ac:dyDescent="0.25"/>
  <sheetData>
    <row r="2" spans="2:18" x14ac:dyDescent="0.25">
      <c r="B2" t="s">
        <v>55</v>
      </c>
      <c r="R2" s="24" t="s">
        <v>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4"/>
  <sheetViews>
    <sheetView tabSelected="1" workbookViewId="0">
      <selection activeCell="H30" sqref="H30"/>
    </sheetView>
  </sheetViews>
  <sheetFormatPr defaultColWidth="8.85546875" defaultRowHeight="15" x14ac:dyDescent="0.25"/>
  <cols>
    <col min="1" max="1" width="8.85546875" style="24"/>
    <col min="2" max="2" width="63.42578125" style="24" bestFit="1" customWidth="1"/>
    <col min="3" max="4" width="17.85546875" style="24" bestFit="1" customWidth="1"/>
    <col min="5" max="5" width="13.7109375" style="24" customWidth="1"/>
    <col min="6" max="6" width="15.28515625" style="24" customWidth="1"/>
    <col min="7" max="7" width="8.85546875" style="24"/>
    <col min="8" max="8" width="12" style="24" bestFit="1" customWidth="1"/>
    <col min="9" max="10" width="8.85546875" style="24"/>
    <col min="11" max="11" width="17.28515625" style="24" bestFit="1" customWidth="1"/>
    <col min="12" max="12" width="8.85546875" style="24"/>
    <col min="13" max="13" width="10.5703125" style="24" bestFit="1" customWidth="1"/>
    <col min="14" max="14" width="15.85546875" style="24" bestFit="1" customWidth="1"/>
    <col min="15" max="16384" width="8.85546875" style="24"/>
  </cols>
  <sheetData>
    <row r="1" spans="2:12" x14ac:dyDescent="0.25">
      <c r="B1" s="24" t="s">
        <v>13</v>
      </c>
      <c r="C1" s="24" t="s">
        <v>7</v>
      </c>
    </row>
    <row r="2" spans="2:12" x14ac:dyDescent="0.25">
      <c r="C2" s="1"/>
    </row>
    <row r="3" spans="2:12" x14ac:dyDescent="0.25">
      <c r="B3" s="36" t="s">
        <v>14</v>
      </c>
      <c r="C3" s="36"/>
      <c r="D3" s="36"/>
      <c r="E3" s="14"/>
      <c r="F3" s="15"/>
    </row>
    <row r="4" spans="2:12" x14ac:dyDescent="0.25">
      <c r="B4" s="11" t="s">
        <v>10</v>
      </c>
      <c r="C4" s="12" t="s">
        <v>12</v>
      </c>
      <c r="D4" s="12" t="s">
        <v>6</v>
      </c>
      <c r="E4" s="16"/>
      <c r="F4" s="16"/>
    </row>
    <row r="5" spans="2:12" x14ac:dyDescent="0.25">
      <c r="B5" s="13" t="s">
        <v>23</v>
      </c>
      <c r="C5" s="21">
        <v>5.7</v>
      </c>
      <c r="D5" s="13" t="s">
        <v>50</v>
      </c>
      <c r="E5" s="17"/>
      <c r="F5" s="17"/>
      <c r="G5" s="2"/>
      <c r="H5" s="2"/>
    </row>
    <row r="6" spans="2:12" x14ac:dyDescent="0.25">
      <c r="B6" s="13" t="s">
        <v>31</v>
      </c>
      <c r="C6" s="21">
        <v>0.11</v>
      </c>
      <c r="D6" s="13" t="s">
        <v>21</v>
      </c>
      <c r="E6" s="17"/>
      <c r="F6" s="17"/>
      <c r="G6" s="2"/>
      <c r="H6" s="2"/>
    </row>
    <row r="7" spans="2:12" x14ac:dyDescent="0.25">
      <c r="B7" s="13" t="s">
        <v>22</v>
      </c>
      <c r="C7" s="13">
        <v>90</v>
      </c>
      <c r="D7" s="13" t="s">
        <v>9</v>
      </c>
      <c r="E7" s="17"/>
      <c r="F7" s="17"/>
      <c r="G7" s="2"/>
      <c r="H7" s="2"/>
    </row>
    <row r="8" spans="2:12" x14ac:dyDescent="0.25">
      <c r="B8" s="13" t="s">
        <v>30</v>
      </c>
      <c r="C8" s="13">
        <v>95</v>
      </c>
      <c r="D8" s="13" t="s">
        <v>9</v>
      </c>
      <c r="E8" s="17"/>
      <c r="F8" s="17"/>
      <c r="G8" s="2"/>
      <c r="H8" s="2"/>
    </row>
    <row r="9" spans="2:12" x14ac:dyDescent="0.25">
      <c r="B9" s="13" t="s">
        <v>16</v>
      </c>
      <c r="C9" s="13">
        <v>75</v>
      </c>
      <c r="D9" s="13" t="s">
        <v>9</v>
      </c>
      <c r="E9" s="17"/>
      <c r="F9" s="17"/>
      <c r="G9" s="2"/>
      <c r="H9" s="2"/>
      <c r="I9" s="2"/>
      <c r="J9" s="2"/>
      <c r="K9" s="2"/>
      <c r="L9" s="2"/>
    </row>
    <row r="10" spans="2:12" x14ac:dyDescent="0.25">
      <c r="B10" s="13" t="s">
        <v>28</v>
      </c>
      <c r="C10" s="13">
        <v>0</v>
      </c>
      <c r="D10" s="13"/>
      <c r="E10" s="17"/>
      <c r="F10" s="17"/>
      <c r="G10" s="2"/>
      <c r="H10" s="2"/>
      <c r="I10" s="2"/>
      <c r="J10" s="2"/>
      <c r="K10" s="2"/>
      <c r="L10" s="2"/>
    </row>
    <row r="11" spans="2:12" x14ac:dyDescent="0.25">
      <c r="B11" s="13" t="s">
        <v>29</v>
      </c>
      <c r="C11" s="13">
        <v>1</v>
      </c>
      <c r="D11" s="13"/>
      <c r="E11" s="17"/>
      <c r="F11" s="17"/>
      <c r="G11" s="2"/>
      <c r="H11" s="2"/>
      <c r="I11" s="2"/>
      <c r="J11" s="2"/>
      <c r="K11" s="2"/>
      <c r="L11" s="2"/>
    </row>
    <row r="12" spans="2:12" x14ac:dyDescent="0.25">
      <c r="B12" s="13" t="s">
        <v>33</v>
      </c>
      <c r="C12" s="13">
        <v>19</v>
      </c>
      <c r="D12" s="13" t="s">
        <v>9</v>
      </c>
      <c r="E12" s="17"/>
      <c r="F12" s="17"/>
      <c r="G12" s="2"/>
      <c r="H12" s="2"/>
      <c r="I12" s="2"/>
      <c r="J12" s="2"/>
      <c r="K12" s="2"/>
      <c r="L12" s="2"/>
    </row>
    <row r="13" spans="2:12" x14ac:dyDescent="0.25">
      <c r="B13" s="13" t="s">
        <v>40</v>
      </c>
      <c r="C13" s="13">
        <v>0.25</v>
      </c>
      <c r="D13" s="13" t="s">
        <v>41</v>
      </c>
      <c r="E13" s="17"/>
      <c r="F13" s="17"/>
      <c r="G13" s="2"/>
      <c r="H13" s="2"/>
      <c r="I13" s="2"/>
      <c r="J13" s="2"/>
      <c r="K13" s="2"/>
      <c r="L13" s="2"/>
    </row>
    <row r="14" spans="2:12" x14ac:dyDescent="0.25">
      <c r="B14" s="2"/>
      <c r="C14" s="2"/>
      <c r="D14" s="2"/>
      <c r="E14" s="17"/>
      <c r="F14" s="17"/>
      <c r="G14" s="2"/>
      <c r="H14" s="2"/>
      <c r="I14" s="2"/>
      <c r="J14" s="2"/>
      <c r="K14" s="2"/>
      <c r="L14" s="2"/>
    </row>
    <row r="15" spans="2:12" x14ac:dyDescent="0.25">
      <c r="B15" s="37" t="s">
        <v>18</v>
      </c>
      <c r="C15" s="37"/>
      <c r="D15" s="37"/>
      <c r="E15" s="17"/>
      <c r="F15" s="17"/>
      <c r="G15" s="2"/>
      <c r="H15" s="2"/>
      <c r="I15" s="2"/>
      <c r="J15" s="2"/>
      <c r="K15" s="2"/>
      <c r="L15" s="2"/>
    </row>
    <row r="16" spans="2:12" x14ac:dyDescent="0.25">
      <c r="B16" s="18" t="s">
        <v>11</v>
      </c>
      <c r="C16" s="18" t="s">
        <v>12</v>
      </c>
      <c r="D16" s="18" t="s">
        <v>6</v>
      </c>
      <c r="E16" s="16"/>
      <c r="F16" s="16"/>
      <c r="G16" s="2"/>
      <c r="H16" s="2"/>
      <c r="I16" s="2"/>
      <c r="J16" s="2"/>
      <c r="K16" s="2"/>
      <c r="L16" s="2"/>
    </row>
    <row r="17" spans="2:14" x14ac:dyDescent="0.25">
      <c r="B17" s="19"/>
      <c r="C17" s="20"/>
      <c r="D17" s="19"/>
      <c r="E17" s="17"/>
      <c r="F17" s="17"/>
      <c r="G17" s="2"/>
      <c r="H17" s="2"/>
      <c r="I17" s="2"/>
      <c r="J17" s="2"/>
      <c r="K17" s="2"/>
      <c r="L17" s="2"/>
    </row>
    <row r="18" spans="2:14" x14ac:dyDescent="0.25">
      <c r="B18" s="19" t="s">
        <v>32</v>
      </c>
      <c r="C18" s="20">
        <f>$C$5*$C$7/100*(1-$C$9/100)</f>
        <v>1.2825</v>
      </c>
      <c r="D18" s="19" t="s">
        <v>8</v>
      </c>
      <c r="E18" s="17"/>
      <c r="F18" s="17"/>
      <c r="G18" s="2"/>
      <c r="H18" s="2"/>
      <c r="I18" s="2"/>
      <c r="J18" s="2"/>
      <c r="K18" s="2"/>
      <c r="L18" s="2"/>
    </row>
    <row r="19" spans="2:14" x14ac:dyDescent="0.25">
      <c r="B19" s="19" t="s">
        <v>24</v>
      </c>
      <c r="C19" s="20">
        <f>$C$5*($C$7/100)*(1-$C$8/100)</f>
        <v>0.25650000000000023</v>
      </c>
      <c r="D19" s="19" t="s">
        <v>8</v>
      </c>
      <c r="E19" s="17"/>
      <c r="F19" s="17"/>
      <c r="G19" s="2"/>
      <c r="H19" s="2"/>
      <c r="I19" s="2"/>
      <c r="J19" s="2"/>
      <c r="K19" s="2"/>
      <c r="L19" s="2"/>
    </row>
    <row r="20" spans="2:14" x14ac:dyDescent="0.25">
      <c r="B20" s="19" t="s">
        <v>25</v>
      </c>
      <c r="C20" s="28">
        <f>C18*C10+C19*C11</f>
        <v>0.25650000000000023</v>
      </c>
      <c r="D20" s="19" t="s">
        <v>8</v>
      </c>
      <c r="E20" s="27"/>
      <c r="F20" s="17"/>
      <c r="G20" s="2"/>
      <c r="H20" s="2"/>
      <c r="I20" s="2"/>
      <c r="J20" s="2"/>
      <c r="K20" s="2"/>
      <c r="L20" s="2"/>
    </row>
    <row r="21" spans="2:14" x14ac:dyDescent="0.25">
      <c r="B21" s="19" t="s">
        <v>42</v>
      </c>
      <c r="C21" s="20">
        <f>C6*C13</f>
        <v>2.75E-2</v>
      </c>
      <c r="D21" s="19" t="s">
        <v>8</v>
      </c>
      <c r="E21" s="17"/>
      <c r="F21" s="17"/>
      <c r="G21" s="2"/>
      <c r="H21" s="2"/>
      <c r="I21" s="2"/>
      <c r="J21" s="2"/>
      <c r="K21" s="2"/>
      <c r="L21" s="2"/>
    </row>
    <row r="22" spans="2:14" x14ac:dyDescent="0.25">
      <c r="B22" s="19" t="s">
        <v>43</v>
      </c>
      <c r="C22" s="29">
        <f>C5*(1-C7/100)*(1-C12/100)</f>
        <v>0.46169999999999989</v>
      </c>
      <c r="D22" s="19" t="s">
        <v>8</v>
      </c>
      <c r="E22" s="3"/>
      <c r="F22" s="17"/>
      <c r="G22" s="2"/>
      <c r="H22" s="2"/>
      <c r="I22" s="2"/>
      <c r="K22" s="2"/>
      <c r="L22" s="2"/>
    </row>
    <row r="23" spans="2:14" x14ac:dyDescent="0.25">
      <c r="B23" s="19"/>
      <c r="C23" s="20"/>
      <c r="D23" s="19"/>
      <c r="E23" s="2"/>
      <c r="F23" s="2"/>
      <c r="G23" s="2"/>
      <c r="H23" s="2"/>
      <c r="I23" s="2"/>
      <c r="J23" s="2"/>
      <c r="K23" s="2"/>
      <c r="L23" s="2"/>
    </row>
    <row r="24" spans="2:14" x14ac:dyDescent="0.25">
      <c r="B24" s="24" t="s">
        <v>3</v>
      </c>
      <c r="C24" s="2">
        <v>2000</v>
      </c>
      <c r="D24" s="2" t="s">
        <v>4</v>
      </c>
      <c r="E24" s="2"/>
      <c r="F24" s="2"/>
      <c r="G24" s="2"/>
      <c r="H24" s="2"/>
      <c r="I24" s="2"/>
      <c r="J24" s="2"/>
      <c r="K24" s="2"/>
      <c r="L24" s="2"/>
    </row>
    <row r="25" spans="2:14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4" x14ac:dyDescent="0.25">
      <c r="C26" s="2"/>
      <c r="D26" s="6" t="s">
        <v>17</v>
      </c>
      <c r="E26" s="6" t="s">
        <v>5</v>
      </c>
      <c r="F26" s="5" t="s">
        <v>26</v>
      </c>
      <c r="G26" s="6" t="s">
        <v>15</v>
      </c>
      <c r="H26" s="2"/>
      <c r="I26" s="2"/>
      <c r="J26" s="2"/>
      <c r="K26" s="2"/>
      <c r="L26" s="2"/>
    </row>
    <row r="27" spans="2:14" x14ac:dyDescent="0.25">
      <c r="C27" s="6" t="s">
        <v>0</v>
      </c>
      <c r="D27" s="6" t="s">
        <v>49</v>
      </c>
      <c r="E27" s="6" t="s">
        <v>49</v>
      </c>
      <c r="F27" s="6" t="s">
        <v>49</v>
      </c>
      <c r="G27" s="6" t="s">
        <v>49</v>
      </c>
      <c r="H27" s="6" t="s">
        <v>20</v>
      </c>
      <c r="I27" s="6" t="s">
        <v>19</v>
      </c>
      <c r="J27" s="6"/>
      <c r="K27" s="6"/>
      <c r="L27" s="6"/>
      <c r="M27" s="6"/>
      <c r="N27" s="8"/>
    </row>
    <row r="28" spans="2:14" x14ac:dyDescent="0.25">
      <c r="B28" s="24" t="s">
        <v>1</v>
      </c>
      <c r="C28" s="25">
        <v>75000</v>
      </c>
      <c r="D28" s="22">
        <f>$C28*$C$20</f>
        <v>19237.500000000018</v>
      </c>
      <c r="E28" s="22">
        <f>$C28*$C$22</f>
        <v>34627.499999999993</v>
      </c>
      <c r="F28" s="22">
        <f>$C28*$C$21</f>
        <v>2062.5</v>
      </c>
      <c r="G28" s="22">
        <f>SUM(D28:F28)</f>
        <v>55927.500000000015</v>
      </c>
      <c r="H28" s="4">
        <f>G28/$C$24</f>
        <v>27.963750000000008</v>
      </c>
      <c r="I28" s="10">
        <f>H28</f>
        <v>27.963750000000008</v>
      </c>
      <c r="K28" s="9"/>
      <c r="L28" s="2"/>
      <c r="M28" s="7"/>
      <c r="N28" s="7"/>
    </row>
    <row r="29" spans="2:14" x14ac:dyDescent="0.25">
      <c r="B29" s="24" t="s">
        <v>2</v>
      </c>
      <c r="C29" s="25">
        <v>150000</v>
      </c>
      <c r="D29" s="22">
        <f>$C29*$C$20</f>
        <v>38475.000000000036</v>
      </c>
      <c r="E29" s="22">
        <f>$C29*$C$22</f>
        <v>69254.999999999985</v>
      </c>
      <c r="F29" s="22">
        <f>$C29*$C$21</f>
        <v>4125</v>
      </c>
      <c r="G29" s="22">
        <f>SUM(D29:F29)</f>
        <v>111855.00000000003</v>
      </c>
      <c r="H29" s="4">
        <f>G29/$C$24</f>
        <v>55.927500000000016</v>
      </c>
      <c r="I29" s="10">
        <f>H29</f>
        <v>55.927500000000016</v>
      </c>
      <c r="K29" s="9"/>
      <c r="L29" s="2"/>
      <c r="M29" s="7"/>
      <c r="N29" s="7"/>
    </row>
    <row r="30" spans="2:14" x14ac:dyDescent="0.25">
      <c r="C30" s="2"/>
      <c r="D30" s="2"/>
      <c r="E30" s="2"/>
      <c r="F30" s="2"/>
      <c r="G30" s="4"/>
      <c r="H30" s="2"/>
      <c r="I30" s="2"/>
      <c r="J30" s="2"/>
      <c r="K30" s="2"/>
      <c r="L30" s="2"/>
    </row>
    <row r="31" spans="2:14" x14ac:dyDescent="0.25">
      <c r="C31" s="2"/>
      <c r="D31" s="26"/>
      <c r="E31" s="23"/>
      <c r="G31" s="2"/>
      <c r="H31" s="2"/>
      <c r="I31" s="2"/>
      <c r="J31" s="2"/>
      <c r="K31" s="2"/>
      <c r="L31" s="2"/>
    </row>
    <row r="33" spans="4:5" x14ac:dyDescent="0.25">
      <c r="D33" s="30"/>
      <c r="E33" s="30"/>
    </row>
    <row r="34" spans="4:5" x14ac:dyDescent="0.25">
      <c r="D34" s="31"/>
      <c r="E34" s="31"/>
    </row>
  </sheetData>
  <mergeCells count="2">
    <mergeCell ref="B3:D3"/>
    <mergeCell ref="B15:D15"/>
  </mergeCells>
  <conditionalFormatting sqref="N28">
    <cfRule type="cellIs" dxfId="3" priority="2" operator="equal">
      <formula>"Yes"</formula>
    </cfRule>
  </conditionalFormatting>
  <conditionalFormatting sqref="N29">
    <cfRule type="cellIs" dxfId="2" priority="1" operator="equal">
      <formula>"Yes"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8"/>
  <sheetViews>
    <sheetView topLeftCell="B10" workbookViewId="0">
      <selection activeCell="E37" sqref="E37"/>
    </sheetView>
  </sheetViews>
  <sheetFormatPr defaultColWidth="8.85546875" defaultRowHeight="15" x14ac:dyDescent="0.25"/>
  <cols>
    <col min="1" max="1" width="8.85546875" style="24"/>
    <col min="2" max="2" width="63.42578125" style="24" bestFit="1" customWidth="1"/>
    <col min="3" max="3" width="15.5703125" style="24" bestFit="1" customWidth="1"/>
    <col min="4" max="4" width="17.85546875" style="24" bestFit="1" customWidth="1"/>
    <col min="5" max="5" width="13.7109375" style="24" customWidth="1"/>
    <col min="6" max="6" width="15.28515625" style="24" customWidth="1"/>
    <col min="7" max="7" width="8.85546875" style="24"/>
    <col min="8" max="8" width="12" style="24" bestFit="1" customWidth="1"/>
    <col min="9" max="10" width="8.85546875" style="24"/>
    <col min="11" max="11" width="17.28515625" style="24" bestFit="1" customWidth="1"/>
    <col min="12" max="12" width="8.85546875" style="24"/>
    <col min="13" max="13" width="10.5703125" style="24" bestFit="1" customWidth="1"/>
    <col min="14" max="14" width="15.85546875" style="24" bestFit="1" customWidth="1"/>
    <col min="15" max="16384" width="8.85546875" style="24"/>
  </cols>
  <sheetData>
    <row r="1" spans="2:12" x14ac:dyDescent="0.25">
      <c r="B1" s="24" t="s">
        <v>13</v>
      </c>
      <c r="C1" s="24" t="s">
        <v>27</v>
      </c>
    </row>
    <row r="2" spans="2:12" x14ac:dyDescent="0.25">
      <c r="C2" s="1"/>
    </row>
    <row r="3" spans="2:12" x14ac:dyDescent="0.25">
      <c r="B3" s="36" t="s">
        <v>14</v>
      </c>
      <c r="C3" s="36"/>
      <c r="D3" s="36"/>
      <c r="E3" s="14"/>
      <c r="F3" s="15"/>
    </row>
    <row r="4" spans="2:12" x14ac:dyDescent="0.25">
      <c r="B4" s="11" t="s">
        <v>10</v>
      </c>
      <c r="C4" s="12" t="s">
        <v>12</v>
      </c>
      <c r="D4" s="12" t="s">
        <v>6</v>
      </c>
      <c r="E4" s="16"/>
      <c r="F4" s="16"/>
    </row>
    <row r="5" spans="2:12" x14ac:dyDescent="0.25">
      <c r="B5" s="13" t="s">
        <v>34</v>
      </c>
      <c r="C5" s="21">
        <v>1.01</v>
      </c>
      <c r="D5" s="13" t="s">
        <v>35</v>
      </c>
      <c r="E5" s="17"/>
      <c r="F5" s="17"/>
      <c r="G5" s="2"/>
      <c r="H5" s="2"/>
    </row>
    <row r="6" spans="2:12" x14ac:dyDescent="0.25">
      <c r="B6" s="13" t="s">
        <v>31</v>
      </c>
      <c r="C6" s="21">
        <v>0.02</v>
      </c>
      <c r="D6" s="13" t="s">
        <v>35</v>
      </c>
      <c r="E6" s="17"/>
      <c r="F6" s="17"/>
      <c r="G6" s="2"/>
      <c r="H6" s="2"/>
    </row>
    <row r="7" spans="2:12" x14ac:dyDescent="0.25">
      <c r="B7" s="13" t="s">
        <v>36</v>
      </c>
      <c r="C7" s="13">
        <v>70</v>
      </c>
      <c r="D7" s="13" t="s">
        <v>9</v>
      </c>
      <c r="E7" s="17"/>
      <c r="F7" s="17"/>
      <c r="G7" s="2"/>
      <c r="H7" s="2"/>
    </row>
    <row r="8" spans="2:12" x14ac:dyDescent="0.25">
      <c r="B8" s="13" t="s">
        <v>30</v>
      </c>
      <c r="C8" s="13">
        <v>80</v>
      </c>
      <c r="D8" s="13" t="s">
        <v>9</v>
      </c>
      <c r="E8" s="17"/>
      <c r="F8" s="17"/>
      <c r="G8" s="2"/>
      <c r="H8" s="2"/>
    </row>
    <row r="9" spans="2:12" x14ac:dyDescent="0.25">
      <c r="B9" s="13" t="s">
        <v>16</v>
      </c>
      <c r="C9" s="13">
        <v>53</v>
      </c>
      <c r="D9" s="13" t="s">
        <v>9</v>
      </c>
      <c r="E9" s="17"/>
      <c r="F9" s="17"/>
      <c r="G9" s="2"/>
      <c r="H9" s="2"/>
      <c r="I9" s="2"/>
      <c r="J9" s="2"/>
      <c r="K9" s="2"/>
      <c r="L9" s="2"/>
    </row>
    <row r="10" spans="2:12" x14ac:dyDescent="0.25">
      <c r="B10" s="13" t="s">
        <v>28</v>
      </c>
      <c r="C10" s="13">
        <v>0</v>
      </c>
      <c r="D10" s="13"/>
      <c r="E10" s="17"/>
      <c r="F10" s="17"/>
      <c r="G10" s="2"/>
      <c r="H10" s="2"/>
      <c r="I10" s="2"/>
      <c r="J10" s="2"/>
      <c r="K10" s="2"/>
      <c r="L10" s="2"/>
    </row>
    <row r="11" spans="2:12" x14ac:dyDescent="0.25">
      <c r="B11" s="13" t="s">
        <v>29</v>
      </c>
      <c r="C11" s="13">
        <v>1</v>
      </c>
      <c r="D11" s="13"/>
      <c r="E11" s="17"/>
      <c r="F11" s="17"/>
      <c r="G11" s="2"/>
      <c r="H11" s="2"/>
      <c r="I11" s="2"/>
      <c r="J11" s="2"/>
      <c r="K11" s="2"/>
      <c r="L11" s="2"/>
    </row>
    <row r="12" spans="2:12" x14ac:dyDescent="0.25">
      <c r="B12" s="13" t="s">
        <v>33</v>
      </c>
      <c r="C12" s="13">
        <v>0</v>
      </c>
      <c r="D12" s="13" t="s">
        <v>9</v>
      </c>
      <c r="E12" s="17"/>
      <c r="F12" s="17"/>
      <c r="G12" s="2"/>
      <c r="H12" s="2"/>
      <c r="I12" s="2"/>
      <c r="J12" s="2"/>
      <c r="K12" s="2"/>
      <c r="L12" s="2"/>
    </row>
    <row r="13" spans="2:12" x14ac:dyDescent="0.25">
      <c r="B13" s="13" t="s">
        <v>40</v>
      </c>
      <c r="C13" s="13">
        <v>0.25</v>
      </c>
      <c r="D13" s="13" t="s">
        <v>41</v>
      </c>
      <c r="E13" s="17"/>
      <c r="F13" s="17"/>
      <c r="G13" s="2"/>
      <c r="H13" s="2"/>
      <c r="I13" s="2"/>
      <c r="J13" s="2"/>
      <c r="K13" s="2"/>
      <c r="L13" s="2"/>
    </row>
    <row r="14" spans="2:12" x14ac:dyDescent="0.25">
      <c r="B14" s="2"/>
      <c r="C14" s="2"/>
      <c r="D14" s="2"/>
      <c r="E14" s="17"/>
      <c r="F14" s="17"/>
      <c r="G14" s="2"/>
      <c r="H14" s="2"/>
      <c r="I14" s="2"/>
      <c r="J14" s="2"/>
      <c r="K14" s="2"/>
      <c r="L14" s="2"/>
    </row>
    <row r="15" spans="2:12" x14ac:dyDescent="0.25">
      <c r="B15" s="37" t="s">
        <v>18</v>
      </c>
      <c r="C15" s="37"/>
      <c r="D15" s="37"/>
      <c r="E15" s="17"/>
      <c r="F15" s="17"/>
      <c r="G15" s="2"/>
      <c r="H15" s="2"/>
      <c r="I15" s="2"/>
      <c r="J15" s="2"/>
      <c r="K15" s="2"/>
      <c r="L15" s="2"/>
    </row>
    <row r="16" spans="2:12" x14ac:dyDescent="0.25">
      <c r="B16" s="18" t="s">
        <v>11</v>
      </c>
      <c r="C16" s="18" t="s">
        <v>12</v>
      </c>
      <c r="D16" s="18" t="s">
        <v>6</v>
      </c>
      <c r="E16" s="16"/>
      <c r="F16" s="16"/>
      <c r="G16" s="2"/>
      <c r="H16" s="2"/>
      <c r="I16" s="2"/>
      <c r="J16" s="2"/>
      <c r="K16" s="2"/>
      <c r="L16" s="2"/>
    </row>
    <row r="17" spans="2:14" x14ac:dyDescent="0.25">
      <c r="B17" s="19"/>
      <c r="C17" s="20"/>
      <c r="D17" s="19"/>
      <c r="E17" s="17"/>
      <c r="F17" s="17"/>
      <c r="G17" s="2"/>
      <c r="H17" s="2"/>
      <c r="I17" s="2"/>
      <c r="J17" s="2"/>
      <c r="K17" s="2"/>
      <c r="L17" s="2"/>
    </row>
    <row r="18" spans="2:14" x14ac:dyDescent="0.25">
      <c r="B18" s="19" t="s">
        <v>44</v>
      </c>
      <c r="C18" s="20">
        <f>$C$5*$C$7/100*(1-$C$9/100)</f>
        <v>0.33229000000000003</v>
      </c>
      <c r="D18" s="19" t="s">
        <v>8</v>
      </c>
      <c r="E18" s="17"/>
      <c r="F18" s="17"/>
      <c r="G18" s="2"/>
      <c r="H18" s="2"/>
      <c r="I18" s="2"/>
      <c r="J18" s="2"/>
      <c r="K18" s="2"/>
      <c r="L18" s="2"/>
    </row>
    <row r="19" spans="2:14" x14ac:dyDescent="0.25">
      <c r="B19" s="19" t="s">
        <v>37</v>
      </c>
      <c r="C19" s="20">
        <f>$C$5*($C$7/100)*(1-$C$8/100)</f>
        <v>0.14139999999999997</v>
      </c>
      <c r="D19" s="19" t="s">
        <v>8</v>
      </c>
      <c r="E19" s="17"/>
      <c r="F19" s="17"/>
      <c r="G19" s="2"/>
      <c r="H19" s="2"/>
      <c r="I19" s="2"/>
      <c r="J19" s="2"/>
      <c r="K19" s="2"/>
      <c r="L19" s="2"/>
    </row>
    <row r="20" spans="2:14" x14ac:dyDescent="0.25">
      <c r="B20" s="19" t="s">
        <v>38</v>
      </c>
      <c r="C20" s="28">
        <f>C18*C10+C19*C11</f>
        <v>0.14139999999999997</v>
      </c>
      <c r="D20" s="19" t="s">
        <v>8</v>
      </c>
      <c r="E20" s="27"/>
      <c r="F20" s="17"/>
      <c r="G20" s="2"/>
      <c r="H20" s="2"/>
      <c r="I20" s="2"/>
      <c r="J20" s="2"/>
      <c r="K20" s="2"/>
      <c r="L20" s="2"/>
    </row>
    <row r="21" spans="2:14" x14ac:dyDescent="0.25">
      <c r="B21" s="19" t="s">
        <v>45</v>
      </c>
      <c r="C21" s="20">
        <f>C6*C13</f>
        <v>5.0000000000000001E-3</v>
      </c>
      <c r="D21" s="19" t="s">
        <v>8</v>
      </c>
      <c r="E21" s="17"/>
      <c r="F21" s="17"/>
      <c r="G21" s="2"/>
      <c r="H21" s="2"/>
      <c r="I21" s="2"/>
      <c r="J21" s="2"/>
      <c r="K21" s="2"/>
      <c r="L21" s="2"/>
    </row>
    <row r="22" spans="2:14" x14ac:dyDescent="0.25">
      <c r="B22" s="19" t="s">
        <v>46</v>
      </c>
      <c r="C22" s="29">
        <f>C5*(1-C7/100)*(1-C12/100)</f>
        <v>0.30300000000000005</v>
      </c>
      <c r="D22" s="19" t="s">
        <v>8</v>
      </c>
      <c r="E22" s="3"/>
      <c r="F22" s="17"/>
      <c r="G22" s="2"/>
      <c r="H22" s="2"/>
      <c r="I22" s="2"/>
      <c r="K22" s="2"/>
      <c r="L22" s="2"/>
    </row>
    <row r="23" spans="2:14" x14ac:dyDescent="0.25">
      <c r="B23" s="19"/>
      <c r="C23" s="20"/>
      <c r="D23" s="19"/>
      <c r="E23" s="2"/>
      <c r="F23" s="2"/>
      <c r="G23" s="2"/>
      <c r="H23" s="2"/>
      <c r="I23" s="2"/>
      <c r="J23" s="2"/>
      <c r="K23" s="2"/>
      <c r="L23" s="2"/>
    </row>
    <row r="24" spans="2:14" x14ac:dyDescent="0.25">
      <c r="B24" s="24" t="s">
        <v>3</v>
      </c>
      <c r="C24" s="2">
        <v>2000</v>
      </c>
      <c r="D24" s="2" t="s">
        <v>4</v>
      </c>
      <c r="E24" s="2"/>
      <c r="F24" s="2"/>
      <c r="G24" s="2"/>
      <c r="H24" s="2"/>
      <c r="I24" s="2"/>
      <c r="J24" s="2"/>
      <c r="K24" s="2"/>
      <c r="L24" s="2"/>
    </row>
    <row r="25" spans="2:14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4" x14ac:dyDescent="0.25">
      <c r="C26" s="2"/>
      <c r="D26" s="6" t="s">
        <v>17</v>
      </c>
      <c r="E26" s="6" t="s">
        <v>5</v>
      </c>
      <c r="F26" s="5" t="s">
        <v>26</v>
      </c>
      <c r="G26" s="6" t="s">
        <v>15</v>
      </c>
      <c r="H26" s="2"/>
      <c r="I26" s="2"/>
      <c r="J26" s="2"/>
      <c r="K26" s="2"/>
      <c r="L26" s="2"/>
    </row>
    <row r="27" spans="2:14" x14ac:dyDescent="0.25">
      <c r="C27" s="6" t="s">
        <v>0</v>
      </c>
      <c r="D27" s="6" t="s">
        <v>47</v>
      </c>
      <c r="E27" s="6" t="s">
        <v>47</v>
      </c>
      <c r="F27" s="6" t="s">
        <v>47</v>
      </c>
      <c r="G27" s="6" t="s">
        <v>47</v>
      </c>
      <c r="H27" s="6" t="s">
        <v>39</v>
      </c>
      <c r="I27" s="6" t="s">
        <v>19</v>
      </c>
      <c r="J27" s="6"/>
      <c r="K27" s="6"/>
      <c r="L27" s="6"/>
      <c r="M27" s="6"/>
      <c r="N27" s="8"/>
    </row>
    <row r="28" spans="2:14" x14ac:dyDescent="0.25">
      <c r="B28" s="24" t="s">
        <v>1</v>
      </c>
      <c r="C28" s="25">
        <v>75000</v>
      </c>
      <c r="D28" s="22">
        <f>$C28*$C$20</f>
        <v>10604.999999999998</v>
      </c>
      <c r="E28" s="22">
        <f>$C28*$C$22</f>
        <v>22725.000000000004</v>
      </c>
      <c r="F28" s="22">
        <f>$C28*$C$21</f>
        <v>375</v>
      </c>
      <c r="G28" s="22">
        <f>SUM(D28:F28)</f>
        <v>33705</v>
      </c>
      <c r="H28" s="4">
        <f>G28/$C$24</f>
        <v>16.852499999999999</v>
      </c>
      <c r="I28" s="10">
        <f>H28</f>
        <v>16.852499999999999</v>
      </c>
      <c r="K28" s="4">
        <f>G28/365</f>
        <v>92.342465753424662</v>
      </c>
      <c r="L28" s="2"/>
      <c r="M28" s="7"/>
      <c r="N28" s="7"/>
    </row>
    <row r="29" spans="2:14" x14ac:dyDescent="0.25">
      <c r="B29" s="24" t="s">
        <v>2</v>
      </c>
      <c r="C29" s="25">
        <v>150000</v>
      </c>
      <c r="D29" s="22">
        <f>$C29*$C$20</f>
        <v>21209.999999999996</v>
      </c>
      <c r="E29" s="22">
        <f>$C29*$C$22</f>
        <v>45450.000000000007</v>
      </c>
      <c r="F29" s="22">
        <f>$C29*$C$21</f>
        <v>750</v>
      </c>
      <c r="G29" s="22">
        <f>SUM(D29:F29)</f>
        <v>67410</v>
      </c>
      <c r="H29" s="4">
        <f>G29/$C$24</f>
        <v>33.704999999999998</v>
      </c>
      <c r="I29" s="10">
        <f>H29</f>
        <v>33.704999999999998</v>
      </c>
      <c r="K29" s="4">
        <f>G29/365</f>
        <v>184.68493150684932</v>
      </c>
      <c r="L29" s="2"/>
      <c r="M29" s="7"/>
      <c r="N29" s="7"/>
    </row>
    <row r="30" spans="2:14" x14ac:dyDescent="0.25">
      <c r="C30" s="2"/>
      <c r="D30" s="2"/>
      <c r="E30" s="2"/>
      <c r="F30" s="2"/>
      <c r="G30" s="4"/>
      <c r="H30" s="2"/>
      <c r="I30" s="2"/>
      <c r="J30" s="2"/>
      <c r="K30" s="4"/>
      <c r="L30" s="2"/>
    </row>
    <row r="31" spans="2:14" x14ac:dyDescent="0.25">
      <c r="C31" s="6" t="s">
        <v>0</v>
      </c>
      <c r="D31" s="32" t="s">
        <v>48</v>
      </c>
      <c r="E31" s="33" t="s">
        <v>5</v>
      </c>
      <c r="G31" s="2"/>
      <c r="H31" s="2"/>
      <c r="I31" s="2"/>
      <c r="J31" s="2"/>
      <c r="K31" s="2"/>
      <c r="L31" s="2"/>
    </row>
    <row r="32" spans="2:14" x14ac:dyDescent="0.25">
      <c r="C32" s="25">
        <v>75000</v>
      </c>
      <c r="D32" s="30">
        <f>D28+F28</f>
        <v>10979.999999999998</v>
      </c>
      <c r="E32" s="30">
        <f>E28</f>
        <v>22725.000000000004</v>
      </c>
    </row>
    <row r="33" spans="3:11" x14ac:dyDescent="0.25">
      <c r="C33" s="25">
        <v>150000</v>
      </c>
      <c r="D33" s="30">
        <f>D29+F29</f>
        <v>21959.999999999996</v>
      </c>
      <c r="E33" s="30">
        <f>E29</f>
        <v>45450.000000000007</v>
      </c>
    </row>
    <row r="34" spans="3:11" x14ac:dyDescent="0.25">
      <c r="C34" s="5" t="s">
        <v>51</v>
      </c>
      <c r="D34" s="30">
        <f>D33-D32</f>
        <v>10979.999999999998</v>
      </c>
      <c r="E34" s="30">
        <f>E33-E32</f>
        <v>22725.000000000004</v>
      </c>
      <c r="J34" s="10">
        <f>(D34+E34)/365</f>
        <v>92.342465753424662</v>
      </c>
      <c r="K34" s="10">
        <f>K29-K28</f>
        <v>92.342465753424662</v>
      </c>
    </row>
    <row r="36" spans="3:11" x14ac:dyDescent="0.25">
      <c r="C36" s="24" t="s">
        <v>52</v>
      </c>
      <c r="D36" s="34">
        <f>D34*453.5924</f>
        <v>4980444.5519999992</v>
      </c>
      <c r="E36" s="34">
        <f>E34*453.5924</f>
        <v>10307887.290000001</v>
      </c>
    </row>
    <row r="37" spans="3:11" x14ac:dyDescent="0.25">
      <c r="C37" s="24" t="s">
        <v>53</v>
      </c>
      <c r="D37" s="35">
        <f>D36/8760/3600</f>
        <v>0.15792886073059359</v>
      </c>
      <c r="E37" s="35">
        <f>E36/8760/3600</f>
        <v>0.3268609617579909</v>
      </c>
    </row>
    <row r="38" spans="3:11" x14ac:dyDescent="0.25">
      <c r="C38" s="24" t="s">
        <v>54</v>
      </c>
      <c r="D38" s="35">
        <f>D37/4</f>
        <v>3.9482215182648397E-2</v>
      </c>
    </row>
  </sheetData>
  <mergeCells count="2">
    <mergeCell ref="B3:D3"/>
    <mergeCell ref="B15:D15"/>
  </mergeCells>
  <conditionalFormatting sqref="N28">
    <cfRule type="cellIs" dxfId="1" priority="2" operator="equal">
      <formula>"Yes"</formula>
    </cfRule>
  </conditionalFormatting>
  <conditionalFormatting sqref="N29">
    <cfRule type="cellIs" dxfId="0" priority="1" operator="equal">
      <formula>"Yes"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VOC_CARB</vt:lpstr>
      <vt:lpstr>NH3_CARB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2020-02-24T08:32:37Z</dcterms:modified>
</cp:coreProperties>
</file>